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drawings/drawing4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0f771530ac4f1f7f/文档/我的资料/浙大课程/大三下/化专实验/"/>
    </mc:Choice>
  </mc:AlternateContent>
  <xr:revisionPtr revIDLastSave="17" documentId="11_0C97C02153446B26AEF4781497EE86F90A803323" xr6:coauthVersionLast="47" xr6:coauthVersionMax="47" xr10:uidLastSave="{7FE5F8DC-7FA3-4E0A-9B39-F1CCDB0A3255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149" i="1" l="1"/>
  <c r="E148" i="1"/>
  <c r="E147" i="1"/>
  <c r="E146" i="1"/>
  <c r="E145" i="1"/>
  <c r="I141" i="1"/>
  <c r="G141" i="1"/>
  <c r="F141" i="1"/>
  <c r="E141" i="1"/>
  <c r="D141" i="1"/>
  <c r="I140" i="1"/>
  <c r="E140" i="1"/>
  <c r="I139" i="1"/>
  <c r="E139" i="1"/>
  <c r="I138" i="1"/>
  <c r="E138" i="1"/>
  <c r="I137" i="1"/>
  <c r="E137" i="1"/>
  <c r="I136" i="1"/>
  <c r="E136" i="1"/>
  <c r="I135" i="1"/>
  <c r="E135" i="1"/>
  <c r="I134" i="1"/>
  <c r="E134" i="1"/>
  <c r="I133" i="1"/>
  <c r="E133" i="1"/>
  <c r="I132" i="1"/>
  <c r="E132" i="1"/>
  <c r="I131" i="1"/>
  <c r="E131" i="1"/>
  <c r="I128" i="1"/>
  <c r="G128" i="1"/>
  <c r="F128" i="1"/>
  <c r="E128" i="1"/>
  <c r="D128" i="1"/>
  <c r="I127" i="1"/>
  <c r="E127" i="1"/>
  <c r="I126" i="1"/>
  <c r="E126" i="1"/>
  <c r="I125" i="1"/>
  <c r="E125" i="1"/>
  <c r="I124" i="1"/>
  <c r="E124" i="1"/>
  <c r="I123" i="1"/>
  <c r="E123" i="1"/>
  <c r="I122" i="1"/>
  <c r="E122" i="1"/>
  <c r="I121" i="1"/>
  <c r="E121" i="1"/>
  <c r="I120" i="1"/>
  <c r="E120" i="1"/>
  <c r="I119" i="1"/>
  <c r="E119" i="1"/>
  <c r="I118" i="1"/>
  <c r="E118" i="1"/>
  <c r="G115" i="1"/>
  <c r="F115" i="1"/>
  <c r="C115" i="1"/>
  <c r="B115" i="1"/>
  <c r="G114" i="1"/>
  <c r="F114" i="1"/>
  <c r="C114" i="1"/>
  <c r="B114" i="1"/>
  <c r="G113" i="1"/>
  <c r="F113" i="1"/>
  <c r="C113" i="1"/>
  <c r="B113" i="1"/>
  <c r="G112" i="1"/>
  <c r="F112" i="1"/>
  <c r="C112" i="1"/>
  <c r="B112" i="1"/>
  <c r="G111" i="1"/>
  <c r="F111" i="1"/>
  <c r="C111" i="1"/>
  <c r="B111" i="1"/>
  <c r="G110" i="1"/>
  <c r="F110" i="1"/>
  <c r="C110" i="1"/>
  <c r="B110" i="1"/>
  <c r="G109" i="1"/>
  <c r="F109" i="1"/>
  <c r="C109" i="1"/>
  <c r="B109" i="1"/>
  <c r="G108" i="1"/>
  <c r="F108" i="1"/>
  <c r="C108" i="1"/>
  <c r="B108" i="1"/>
  <c r="G107" i="1"/>
  <c r="F107" i="1"/>
  <c r="C107" i="1"/>
  <c r="B107" i="1"/>
  <c r="G106" i="1"/>
  <c r="F106" i="1"/>
  <c r="C106" i="1"/>
  <c r="B106" i="1"/>
  <c r="G103" i="1"/>
  <c r="F103" i="1"/>
  <c r="C103" i="1"/>
  <c r="B103" i="1"/>
  <c r="G102" i="1"/>
  <c r="F102" i="1"/>
  <c r="C102" i="1"/>
  <c r="B102" i="1"/>
  <c r="G101" i="1"/>
  <c r="F101" i="1"/>
  <c r="C101" i="1"/>
  <c r="B101" i="1"/>
  <c r="G100" i="1"/>
  <c r="F100" i="1"/>
  <c r="C100" i="1"/>
  <c r="B100" i="1"/>
  <c r="G99" i="1"/>
  <c r="F99" i="1"/>
  <c r="C99" i="1"/>
  <c r="B99" i="1"/>
  <c r="G98" i="1"/>
  <c r="F98" i="1"/>
  <c r="C98" i="1"/>
  <c r="B98" i="1"/>
  <c r="G97" i="1"/>
  <c r="F97" i="1"/>
  <c r="C97" i="1"/>
  <c r="B97" i="1"/>
  <c r="G96" i="1"/>
  <c r="F96" i="1"/>
  <c r="C96" i="1"/>
  <c r="B96" i="1"/>
  <c r="G95" i="1"/>
  <c r="F95" i="1"/>
  <c r="C95" i="1"/>
  <c r="B95" i="1"/>
  <c r="G94" i="1"/>
  <c r="F94" i="1"/>
  <c r="C94" i="1"/>
  <c r="B94" i="1"/>
  <c r="G93" i="1"/>
  <c r="F93" i="1"/>
  <c r="C93" i="1"/>
  <c r="B93" i="1"/>
  <c r="I90" i="1"/>
  <c r="B90" i="1"/>
  <c r="I89" i="1"/>
  <c r="B89" i="1"/>
  <c r="I88" i="1"/>
  <c r="B88" i="1"/>
  <c r="I87" i="1"/>
  <c r="B87" i="1"/>
  <c r="I86" i="1"/>
  <c r="B86" i="1"/>
  <c r="I85" i="1"/>
  <c r="B85" i="1"/>
  <c r="I84" i="1"/>
  <c r="B84" i="1"/>
  <c r="I83" i="1"/>
  <c r="B83" i="1"/>
  <c r="I82" i="1"/>
  <c r="B82" i="1"/>
  <c r="I81" i="1"/>
  <c r="B81" i="1"/>
  <c r="R78" i="1"/>
  <c r="S78" i="1" s="1"/>
  <c r="O78" i="1"/>
  <c r="Q78" i="1" s="1"/>
  <c r="C78" i="1"/>
  <c r="E78" i="1" s="1"/>
  <c r="B78" i="1"/>
  <c r="D78" i="1" s="1"/>
  <c r="R77" i="1"/>
  <c r="S77" i="1" s="1"/>
  <c r="O77" i="1"/>
  <c r="Q77" i="1" s="1"/>
  <c r="D77" i="1"/>
  <c r="C77" i="1"/>
  <c r="B77" i="1"/>
  <c r="F77" i="1" s="1"/>
  <c r="R76" i="1"/>
  <c r="S76" i="1" s="1"/>
  <c r="O76" i="1"/>
  <c r="Q76" i="1" s="1"/>
  <c r="C76" i="1"/>
  <c r="E76" i="1" s="1"/>
  <c r="B76" i="1"/>
  <c r="R75" i="1"/>
  <c r="S75" i="1" s="1"/>
  <c r="O75" i="1"/>
  <c r="Q75" i="1" s="1"/>
  <c r="C75" i="1"/>
  <c r="B75" i="1"/>
  <c r="R74" i="1"/>
  <c r="S74" i="1" s="1"/>
  <c r="O74" i="1"/>
  <c r="Q74" i="1" s="1"/>
  <c r="D74" i="1"/>
  <c r="F74" i="1" s="1"/>
  <c r="C74" i="1"/>
  <c r="B74" i="1"/>
  <c r="R73" i="1"/>
  <c r="S73" i="1" s="1"/>
  <c r="P73" i="1"/>
  <c r="O73" i="1"/>
  <c r="Q73" i="1" s="1"/>
  <c r="C73" i="1"/>
  <c r="B73" i="1"/>
  <c r="R72" i="1"/>
  <c r="S72" i="1" s="1"/>
  <c r="O72" i="1"/>
  <c r="Q72" i="1" s="1"/>
  <c r="E72" i="1"/>
  <c r="G72" i="1" s="1"/>
  <c r="D72" i="1"/>
  <c r="F72" i="1" s="1"/>
  <c r="C72" i="1"/>
  <c r="B72" i="1"/>
  <c r="R71" i="1"/>
  <c r="S71" i="1" s="1"/>
  <c r="O71" i="1"/>
  <c r="Q71" i="1" s="1"/>
  <c r="C71" i="1"/>
  <c r="E71" i="1" s="1"/>
  <c r="B71" i="1"/>
  <c r="S70" i="1"/>
  <c r="R70" i="1"/>
  <c r="O70" i="1"/>
  <c r="Q70" i="1" s="1"/>
  <c r="G70" i="1"/>
  <c r="E70" i="1"/>
  <c r="C70" i="1"/>
  <c r="B70" i="1"/>
  <c r="R69" i="1"/>
  <c r="S69" i="1" s="1"/>
  <c r="O69" i="1"/>
  <c r="Q69" i="1" s="1"/>
  <c r="D69" i="1"/>
  <c r="C69" i="1"/>
  <c r="B69" i="1"/>
  <c r="F69" i="1" s="1"/>
  <c r="R65" i="1"/>
  <c r="O65" i="1"/>
  <c r="P65" i="1" s="1"/>
  <c r="D65" i="1"/>
  <c r="C65" i="1"/>
  <c r="B65" i="1"/>
  <c r="R64" i="1"/>
  <c r="O64" i="1"/>
  <c r="Q64" i="1" s="1"/>
  <c r="D64" i="1"/>
  <c r="C64" i="1"/>
  <c r="B64" i="1"/>
  <c r="R63" i="1"/>
  <c r="Q63" i="1"/>
  <c r="O63" i="1"/>
  <c r="P63" i="1" s="1"/>
  <c r="J63" i="1" s="1"/>
  <c r="K63" i="1" s="1"/>
  <c r="M63" i="1" s="1"/>
  <c r="E63" i="1"/>
  <c r="G63" i="1" s="1"/>
  <c r="D63" i="1"/>
  <c r="C63" i="1"/>
  <c r="B63" i="1"/>
  <c r="R62" i="1"/>
  <c r="O62" i="1"/>
  <c r="P62" i="1" s="1"/>
  <c r="D62" i="1"/>
  <c r="C62" i="1"/>
  <c r="B62" i="1"/>
  <c r="R61" i="1"/>
  <c r="O61" i="1"/>
  <c r="P61" i="1" s="1"/>
  <c r="D61" i="1"/>
  <c r="C61" i="1"/>
  <c r="B61" i="1"/>
  <c r="R60" i="1"/>
  <c r="P60" i="1"/>
  <c r="O60" i="1"/>
  <c r="Q60" i="1" s="1"/>
  <c r="D60" i="1"/>
  <c r="C60" i="1"/>
  <c r="B60" i="1"/>
  <c r="R59" i="1"/>
  <c r="O59" i="1"/>
  <c r="Q59" i="1" s="1"/>
  <c r="D59" i="1"/>
  <c r="C59" i="1"/>
  <c r="B59" i="1"/>
  <c r="R58" i="1"/>
  <c r="O58" i="1"/>
  <c r="Q58" i="1" s="1"/>
  <c r="D58" i="1"/>
  <c r="C58" i="1"/>
  <c r="B58" i="1"/>
  <c r="R57" i="1"/>
  <c r="P57" i="1"/>
  <c r="O57" i="1"/>
  <c r="Q57" i="1" s="1"/>
  <c r="D57" i="1"/>
  <c r="C57" i="1"/>
  <c r="B57" i="1"/>
  <c r="R56" i="1"/>
  <c r="O56" i="1"/>
  <c r="Q56" i="1" s="1"/>
  <c r="D56" i="1"/>
  <c r="C56" i="1"/>
  <c r="B56" i="1"/>
  <c r="R40" i="1"/>
  <c r="Q40" i="1"/>
  <c r="P40" i="1"/>
  <c r="O40" i="1"/>
  <c r="M40" i="1"/>
  <c r="K40" i="1"/>
  <c r="J40" i="1"/>
  <c r="G40" i="1"/>
  <c r="E40" i="1"/>
  <c r="D40" i="1"/>
  <c r="C40" i="1"/>
  <c r="B40" i="1"/>
  <c r="R39" i="1"/>
  <c r="Q39" i="1"/>
  <c r="P39" i="1"/>
  <c r="J39" i="1" s="1"/>
  <c r="K39" i="1" s="1"/>
  <c r="M39" i="1" s="1"/>
  <c r="O39" i="1"/>
  <c r="E39" i="1"/>
  <c r="G39" i="1" s="1"/>
  <c r="D39" i="1"/>
  <c r="C39" i="1"/>
  <c r="B39" i="1"/>
  <c r="R38" i="1"/>
  <c r="O38" i="1"/>
  <c r="P38" i="1" s="1"/>
  <c r="D38" i="1"/>
  <c r="C38" i="1"/>
  <c r="B38" i="1"/>
  <c r="R37" i="1"/>
  <c r="O37" i="1"/>
  <c r="P37" i="1" s="1"/>
  <c r="D37" i="1"/>
  <c r="C37" i="1"/>
  <c r="B37" i="1"/>
  <c r="R36" i="1"/>
  <c r="O36" i="1"/>
  <c r="Q36" i="1" s="1"/>
  <c r="D36" i="1"/>
  <c r="C36" i="1"/>
  <c r="B36" i="1"/>
  <c r="R35" i="1"/>
  <c r="O35" i="1"/>
  <c r="Q35" i="1" s="1"/>
  <c r="D35" i="1"/>
  <c r="C35" i="1"/>
  <c r="B35" i="1"/>
  <c r="R34" i="1"/>
  <c r="O34" i="1"/>
  <c r="Q34" i="1" s="1"/>
  <c r="E34" i="1"/>
  <c r="D34" i="1"/>
  <c r="C34" i="1"/>
  <c r="G34" i="1" s="1"/>
  <c r="B34" i="1"/>
  <c r="R33" i="1"/>
  <c r="O33" i="1"/>
  <c r="Q33" i="1" s="1"/>
  <c r="D33" i="1"/>
  <c r="C33" i="1"/>
  <c r="B33" i="1"/>
  <c r="R32" i="1"/>
  <c r="O32" i="1"/>
  <c r="Q32" i="1" s="1"/>
  <c r="D32" i="1"/>
  <c r="C32" i="1"/>
  <c r="B32" i="1"/>
  <c r="R31" i="1"/>
  <c r="O31" i="1"/>
  <c r="Q31" i="1" s="1"/>
  <c r="D31" i="1"/>
  <c r="C31" i="1"/>
  <c r="B31" i="1"/>
  <c r="R30" i="1"/>
  <c r="Q30" i="1"/>
  <c r="O30" i="1"/>
  <c r="P30" i="1" s="1"/>
  <c r="J30" i="1" s="1"/>
  <c r="K30" i="1" s="1"/>
  <c r="M30" i="1" s="1"/>
  <c r="D30" i="1"/>
  <c r="C30" i="1"/>
  <c r="B30" i="1"/>
  <c r="R26" i="1"/>
  <c r="S26" i="1" s="1"/>
  <c r="O26" i="1"/>
  <c r="Q26" i="1" s="1"/>
  <c r="E26" i="1"/>
  <c r="C26" i="1"/>
  <c r="G26" i="1" s="1"/>
  <c r="B26" i="1"/>
  <c r="D26" i="1" s="1"/>
  <c r="I26" i="1" s="1"/>
  <c r="H26" i="1" s="1"/>
  <c r="R25" i="1"/>
  <c r="S25" i="1" s="1"/>
  <c r="O25" i="1"/>
  <c r="Q25" i="1" s="1"/>
  <c r="D25" i="1"/>
  <c r="F25" i="1" s="1"/>
  <c r="C25" i="1"/>
  <c r="B25" i="1"/>
  <c r="S24" i="1"/>
  <c r="R24" i="1"/>
  <c r="O24" i="1"/>
  <c r="P24" i="1" s="1"/>
  <c r="C24" i="1"/>
  <c r="B24" i="1"/>
  <c r="R23" i="1"/>
  <c r="S23" i="1" s="1"/>
  <c r="O23" i="1"/>
  <c r="Q23" i="1" s="1"/>
  <c r="C23" i="1"/>
  <c r="B23" i="1"/>
  <c r="R22" i="1"/>
  <c r="S22" i="1" s="1"/>
  <c r="O22" i="1"/>
  <c r="P22" i="1" s="1"/>
  <c r="C22" i="1"/>
  <c r="B22" i="1"/>
  <c r="D22" i="1" s="1"/>
  <c r="F22" i="1" s="1"/>
  <c r="S21" i="1"/>
  <c r="R21" i="1"/>
  <c r="Q21" i="1"/>
  <c r="O21" i="1"/>
  <c r="P21" i="1" s="1"/>
  <c r="J21" i="1" s="1"/>
  <c r="K21" i="1" s="1"/>
  <c r="M21" i="1" s="1"/>
  <c r="G21" i="1"/>
  <c r="E21" i="1"/>
  <c r="D21" i="1"/>
  <c r="F21" i="1" s="1"/>
  <c r="C21" i="1"/>
  <c r="B21" i="1"/>
  <c r="R20" i="1"/>
  <c r="S20" i="1" s="1"/>
  <c r="O20" i="1"/>
  <c r="Q20" i="1" s="1"/>
  <c r="C20" i="1"/>
  <c r="B20" i="1"/>
  <c r="R19" i="1"/>
  <c r="S19" i="1" s="1"/>
  <c r="O19" i="1"/>
  <c r="Q19" i="1" s="1"/>
  <c r="C19" i="1"/>
  <c r="B19" i="1"/>
  <c r="R18" i="1"/>
  <c r="S18" i="1" s="1"/>
  <c r="O18" i="1"/>
  <c r="Q18" i="1" s="1"/>
  <c r="E18" i="1"/>
  <c r="G18" i="1" s="1"/>
  <c r="C18" i="1"/>
  <c r="B18" i="1"/>
  <c r="R17" i="1"/>
  <c r="S17" i="1" s="1"/>
  <c r="O17" i="1"/>
  <c r="Q17" i="1" s="1"/>
  <c r="E17" i="1"/>
  <c r="C17" i="1"/>
  <c r="G17" i="1" s="1"/>
  <c r="B17" i="1"/>
  <c r="D17" i="1" s="1"/>
  <c r="R16" i="1"/>
  <c r="S16" i="1" s="1"/>
  <c r="O16" i="1"/>
  <c r="Q16" i="1" s="1"/>
  <c r="F16" i="1"/>
  <c r="D16" i="1"/>
  <c r="C16" i="1"/>
  <c r="B16" i="1"/>
  <c r="F78" i="1" l="1"/>
  <c r="P77" i="1"/>
  <c r="J77" i="1" s="1"/>
  <c r="K77" i="1" s="1"/>
  <c r="M77" i="1" s="1"/>
  <c r="F76" i="1"/>
  <c r="D76" i="1"/>
  <c r="I76" i="1" s="1"/>
  <c r="H76" i="1" s="1"/>
  <c r="D75" i="1"/>
  <c r="F75" i="1" s="1"/>
  <c r="P74" i="1"/>
  <c r="J74" i="1" s="1"/>
  <c r="K74" i="1" s="1"/>
  <c r="M74" i="1" s="1"/>
  <c r="F73" i="1"/>
  <c r="D73" i="1"/>
  <c r="J73" i="1"/>
  <c r="K73" i="1" s="1"/>
  <c r="M73" i="1" s="1"/>
  <c r="F71" i="1"/>
  <c r="D71" i="1"/>
  <c r="F70" i="1"/>
  <c r="D70" i="1"/>
  <c r="I70" i="1" s="1"/>
  <c r="H70" i="1" s="1"/>
  <c r="G78" i="1"/>
  <c r="I78" i="1"/>
  <c r="H78" i="1" s="1"/>
  <c r="P78" i="1"/>
  <c r="J78" i="1" s="1"/>
  <c r="K78" i="1" s="1"/>
  <c r="M78" i="1" s="1"/>
  <c r="E77" i="1"/>
  <c r="G77" i="1" s="1"/>
  <c r="G76" i="1"/>
  <c r="P76" i="1"/>
  <c r="J76" i="1" s="1"/>
  <c r="K76" i="1" s="1"/>
  <c r="M76" i="1" s="1"/>
  <c r="G75" i="1"/>
  <c r="P75" i="1"/>
  <c r="J75" i="1" s="1"/>
  <c r="K75" i="1" s="1"/>
  <c r="M75" i="1" s="1"/>
  <c r="E75" i="1"/>
  <c r="I75" i="1" s="1"/>
  <c r="H75" i="1" s="1"/>
  <c r="E74" i="1"/>
  <c r="I74" i="1" s="1"/>
  <c r="H74" i="1" s="1"/>
  <c r="G74" i="1"/>
  <c r="E73" i="1"/>
  <c r="I73" i="1" s="1"/>
  <c r="H73" i="1" s="1"/>
  <c r="I72" i="1"/>
  <c r="H72" i="1" s="1"/>
  <c r="P72" i="1"/>
  <c r="J72" i="1" s="1"/>
  <c r="K72" i="1" s="1"/>
  <c r="M72" i="1" s="1"/>
  <c r="P71" i="1"/>
  <c r="J71" i="1" s="1"/>
  <c r="K71" i="1" s="1"/>
  <c r="M71" i="1" s="1"/>
  <c r="G71" i="1"/>
  <c r="I71" i="1"/>
  <c r="H71" i="1" s="1"/>
  <c r="P70" i="1"/>
  <c r="J70" i="1" s="1"/>
  <c r="K70" i="1" s="1"/>
  <c r="M70" i="1" s="1"/>
  <c r="P69" i="1"/>
  <c r="J69" i="1" s="1"/>
  <c r="K69" i="1" s="1"/>
  <c r="M69" i="1" s="1"/>
  <c r="E69" i="1"/>
  <c r="I69" i="1" s="1"/>
  <c r="H69" i="1" s="1"/>
  <c r="Q65" i="1"/>
  <c r="J65" i="1" s="1"/>
  <c r="K65" i="1" s="1"/>
  <c r="M65" i="1" s="1"/>
  <c r="E65" i="1"/>
  <c r="G65" i="1" s="1"/>
  <c r="G64" i="1"/>
  <c r="P64" i="1"/>
  <c r="J64" i="1" s="1"/>
  <c r="K64" i="1" s="1"/>
  <c r="M64" i="1" s="1"/>
  <c r="E64" i="1"/>
  <c r="Q62" i="1"/>
  <c r="J62" i="1" s="1"/>
  <c r="K62" i="1" s="1"/>
  <c r="M62" i="1" s="1"/>
  <c r="E62" i="1"/>
  <c r="G62" i="1" s="1"/>
  <c r="G61" i="1"/>
  <c r="Q61" i="1"/>
  <c r="J61" i="1" s="1"/>
  <c r="K61" i="1" s="1"/>
  <c r="M61" i="1" s="1"/>
  <c r="E61" i="1"/>
  <c r="G60" i="1"/>
  <c r="J60" i="1"/>
  <c r="K60" i="1" s="1"/>
  <c r="M60" i="1" s="1"/>
  <c r="E60" i="1"/>
  <c r="P59" i="1"/>
  <c r="J59" i="1" s="1"/>
  <c r="K59" i="1" s="1"/>
  <c r="M59" i="1" s="1"/>
  <c r="E59" i="1"/>
  <c r="G59" i="1" s="1"/>
  <c r="P58" i="1"/>
  <c r="J58" i="1" s="1"/>
  <c r="K58" i="1" s="1"/>
  <c r="M58" i="1" s="1"/>
  <c r="E58" i="1"/>
  <c r="G58" i="1" s="1"/>
  <c r="G57" i="1"/>
  <c r="J57" i="1"/>
  <c r="K57" i="1" s="1"/>
  <c r="M57" i="1" s="1"/>
  <c r="E57" i="1"/>
  <c r="P56" i="1"/>
  <c r="J56" i="1" s="1"/>
  <c r="K56" i="1" s="1"/>
  <c r="M56" i="1" s="1"/>
  <c r="E56" i="1"/>
  <c r="G56" i="1" s="1"/>
  <c r="E20" i="1"/>
  <c r="G20" i="1" s="1"/>
  <c r="D23" i="1"/>
  <c r="F23" i="1" s="1"/>
  <c r="D24" i="1"/>
  <c r="F24" i="1" s="1"/>
  <c r="Q24" i="1"/>
  <c r="J24" i="1" s="1"/>
  <c r="K24" i="1" s="1"/>
  <c r="M24" i="1" s="1"/>
  <c r="F26" i="1"/>
  <c r="P26" i="1"/>
  <c r="J26" i="1" s="1"/>
  <c r="K26" i="1" s="1"/>
  <c r="M26" i="1" s="1"/>
  <c r="I25" i="1"/>
  <c r="H25" i="1" s="1"/>
  <c r="P25" i="1"/>
  <c r="J25" i="1" s="1"/>
  <c r="K25" i="1" s="1"/>
  <c r="M25" i="1" s="1"/>
  <c r="E25" i="1"/>
  <c r="G25" i="1" s="1"/>
  <c r="I24" i="1"/>
  <c r="H24" i="1" s="1"/>
  <c r="E24" i="1"/>
  <c r="G24" i="1" s="1"/>
  <c r="P23" i="1"/>
  <c r="J23" i="1" s="1"/>
  <c r="K23" i="1" s="1"/>
  <c r="M23" i="1" s="1"/>
  <c r="E23" i="1"/>
  <c r="Q22" i="1"/>
  <c r="J22" i="1" s="1"/>
  <c r="K22" i="1" s="1"/>
  <c r="M22" i="1" s="1"/>
  <c r="E22" i="1"/>
  <c r="I22" i="1" s="1"/>
  <c r="H22" i="1" s="1"/>
  <c r="I21" i="1"/>
  <c r="H21" i="1" s="1"/>
  <c r="D20" i="1"/>
  <c r="D19" i="1"/>
  <c r="F19" i="1" s="1"/>
  <c r="D18" i="1"/>
  <c r="F18" i="1" s="1"/>
  <c r="I17" i="1"/>
  <c r="H17" i="1" s="1"/>
  <c r="F17" i="1"/>
  <c r="P17" i="1"/>
  <c r="J17" i="1" s="1"/>
  <c r="K17" i="1" s="1"/>
  <c r="M17" i="1" s="1"/>
  <c r="P20" i="1"/>
  <c r="J20" i="1" s="1"/>
  <c r="K20" i="1" s="1"/>
  <c r="M20" i="1" s="1"/>
  <c r="P19" i="1"/>
  <c r="J19" i="1" s="1"/>
  <c r="K19" i="1" s="1"/>
  <c r="M19" i="1" s="1"/>
  <c r="E19" i="1"/>
  <c r="G19" i="1"/>
  <c r="P18" i="1"/>
  <c r="J18" i="1" s="1"/>
  <c r="K18" i="1" s="1"/>
  <c r="M18" i="1" s="1"/>
  <c r="G16" i="1"/>
  <c r="P16" i="1"/>
  <c r="J16" i="1" s="1"/>
  <c r="K16" i="1" s="1"/>
  <c r="M16" i="1" s="1"/>
  <c r="E16" i="1"/>
  <c r="I16" i="1" s="1"/>
  <c r="H16" i="1" s="1"/>
  <c r="Q38" i="1"/>
  <c r="J38" i="1" s="1"/>
  <c r="K38" i="1" s="1"/>
  <c r="M38" i="1" s="1"/>
  <c r="E38" i="1"/>
  <c r="G38" i="1" s="1"/>
  <c r="J37" i="1"/>
  <c r="K37" i="1" s="1"/>
  <c r="M37" i="1" s="1"/>
  <c r="Q37" i="1"/>
  <c r="E37" i="1"/>
  <c r="G37" i="1" s="1"/>
  <c r="P36" i="1"/>
  <c r="J36" i="1" s="1"/>
  <c r="K36" i="1" s="1"/>
  <c r="M36" i="1" s="1"/>
  <c r="E36" i="1"/>
  <c r="G36" i="1" s="1"/>
  <c r="P35" i="1"/>
  <c r="J35" i="1" s="1"/>
  <c r="K35" i="1" s="1"/>
  <c r="M35" i="1" s="1"/>
  <c r="E35" i="1"/>
  <c r="G35" i="1" s="1"/>
  <c r="P34" i="1"/>
  <c r="J34" i="1" s="1"/>
  <c r="K34" i="1" s="1"/>
  <c r="M34" i="1" s="1"/>
  <c r="P33" i="1"/>
  <c r="J33" i="1" s="1"/>
  <c r="K33" i="1" s="1"/>
  <c r="M33" i="1" s="1"/>
  <c r="E33" i="1"/>
  <c r="G33" i="1" s="1"/>
  <c r="P32" i="1"/>
  <c r="J32" i="1" s="1"/>
  <c r="K32" i="1" s="1"/>
  <c r="M32" i="1" s="1"/>
  <c r="E32" i="1"/>
  <c r="G32" i="1" s="1"/>
  <c r="G31" i="1"/>
  <c r="P31" i="1"/>
  <c r="J31" i="1" s="1"/>
  <c r="K31" i="1" s="1"/>
  <c r="M31" i="1" s="1"/>
  <c r="E31" i="1"/>
  <c r="E30" i="1"/>
  <c r="G30" i="1" s="1"/>
  <c r="I77" i="1" l="1"/>
  <c r="H77" i="1" s="1"/>
  <c r="G73" i="1"/>
  <c r="G69" i="1"/>
  <c r="I19" i="1"/>
  <c r="H19" i="1" s="1"/>
  <c r="I20" i="1"/>
  <c r="H20" i="1" s="1"/>
  <c r="I23" i="1"/>
  <c r="H23" i="1" s="1"/>
  <c r="G23" i="1"/>
  <c r="G22" i="1"/>
  <c r="F20" i="1"/>
  <c r="I18" i="1"/>
  <c r="H18" i="1" s="1"/>
</calcChain>
</file>

<file path=xl/sharedStrings.xml><?xml version="1.0" encoding="utf-8"?>
<sst xmlns="http://schemas.openxmlformats.org/spreadsheetml/2006/main" count="187" uniqueCount="51">
  <si>
    <t>序号</t>
  </si>
  <si>
    <t>微反应器内径（mm）</t>
  </si>
  <si>
    <t>液体流量（mL/min）</t>
  </si>
  <si>
    <t>气体流量（mL/min）</t>
  </si>
  <si>
    <r>
      <rPr>
        <sz val="11"/>
        <color theme="1"/>
        <rFont val="等线"/>
        <charset val="134"/>
        <scheme val="minor"/>
      </rPr>
      <t>压降</t>
    </r>
    <r>
      <rPr>
        <sz val="11"/>
        <color theme="1"/>
        <rFont val="Calibri"/>
        <family val="2"/>
      </rPr>
      <t>Δ</t>
    </r>
    <r>
      <rPr>
        <sz val="11"/>
        <color theme="1"/>
        <rFont val="等线"/>
        <charset val="134"/>
      </rPr>
      <t>P</t>
    </r>
    <r>
      <rPr>
        <sz val="11"/>
        <color theme="1"/>
        <rFont val="等线"/>
        <charset val="134"/>
        <scheme val="minor"/>
      </rPr>
      <t>(kPa)</t>
    </r>
  </si>
  <si>
    <t>气体流速（m/s）</t>
  </si>
  <si>
    <t>液体流速（m/s）</t>
  </si>
  <si>
    <r>
      <rPr>
        <b/>
        <sz val="11"/>
        <color theme="1"/>
        <rFont val="等线"/>
        <charset val="134"/>
        <scheme val="minor"/>
      </rPr>
      <t>Re</t>
    </r>
    <r>
      <rPr>
        <b/>
        <vertAlign val="subscript"/>
        <sz val="11"/>
        <color theme="1"/>
        <rFont val="等线"/>
        <charset val="134"/>
        <scheme val="minor"/>
      </rPr>
      <t>g</t>
    </r>
  </si>
  <si>
    <r>
      <rPr>
        <b/>
        <sz val="11"/>
        <color theme="1"/>
        <rFont val="等线"/>
        <charset val="134"/>
        <scheme val="minor"/>
      </rPr>
      <t>Re</t>
    </r>
    <r>
      <rPr>
        <b/>
        <vertAlign val="subscript"/>
        <sz val="11"/>
        <color theme="1"/>
        <rFont val="等线"/>
        <charset val="134"/>
        <scheme val="minor"/>
      </rPr>
      <t>l</t>
    </r>
  </si>
  <si>
    <t>气相压降（kPa）</t>
  </si>
  <si>
    <t>液相压降（kPa）</t>
  </si>
  <si>
    <r>
      <rPr>
        <b/>
        <sz val="11"/>
        <color theme="1"/>
        <rFont val="Calibri"/>
        <family val="2"/>
      </rPr>
      <t>Φ</t>
    </r>
    <r>
      <rPr>
        <b/>
        <vertAlign val="subscript"/>
        <sz val="9.35"/>
        <color theme="1"/>
        <rFont val="等线"/>
        <charset val="134"/>
      </rPr>
      <t>l</t>
    </r>
  </si>
  <si>
    <t>X</t>
  </si>
  <si>
    <r>
      <rPr>
        <b/>
        <sz val="11"/>
        <color theme="1"/>
        <rFont val="等线"/>
        <charset val="134"/>
      </rPr>
      <t>λ</t>
    </r>
    <r>
      <rPr>
        <b/>
        <vertAlign val="subscript"/>
        <sz val="9.35"/>
        <color theme="1"/>
        <rFont val="等线"/>
        <charset val="134"/>
      </rPr>
      <t>gl</t>
    </r>
  </si>
  <si>
    <t>两相压降</t>
  </si>
  <si>
    <t>计算值（kPa）</t>
  </si>
  <si>
    <t>实测值（kPa）</t>
  </si>
  <si>
    <t>相对偏差</t>
  </si>
  <si>
    <t>x1</t>
  </si>
  <si>
    <r>
      <rPr>
        <b/>
        <sz val="11"/>
        <color theme="1"/>
        <rFont val="等线"/>
        <charset val="134"/>
        <scheme val="minor"/>
      </rPr>
      <t>μgl</t>
    </r>
  </si>
  <si>
    <t>ρgl</t>
  </si>
  <si>
    <t>ugl</t>
  </si>
  <si>
    <t>∞</t>
  </si>
  <si>
    <t>微反应器当量直径（mm）</t>
  </si>
  <si>
    <t>进口压力(kPa)</t>
  </si>
  <si>
    <t>出口压力</t>
  </si>
  <si>
    <r>
      <rPr>
        <b/>
        <sz val="11"/>
        <color theme="1"/>
        <rFont val="等线"/>
        <charset val="134"/>
        <scheme val="minor"/>
      </rPr>
      <t>液体流量（m</t>
    </r>
    <r>
      <rPr>
        <b/>
        <vertAlign val="superscript"/>
        <sz val="11"/>
        <color theme="1"/>
        <rFont val="等线"/>
        <charset val="134"/>
        <scheme val="minor"/>
      </rPr>
      <t>3</t>
    </r>
    <r>
      <rPr>
        <b/>
        <sz val="11"/>
        <color theme="1"/>
        <rFont val="等线"/>
        <charset val="134"/>
        <scheme val="minor"/>
      </rPr>
      <t>/s）</t>
    </r>
  </si>
  <si>
    <r>
      <rPr>
        <b/>
        <sz val="11"/>
        <color theme="1"/>
        <rFont val="等线"/>
        <charset val="134"/>
        <scheme val="minor"/>
      </rPr>
      <t>气体流量（m</t>
    </r>
    <r>
      <rPr>
        <b/>
        <vertAlign val="superscript"/>
        <sz val="11"/>
        <color theme="1"/>
        <rFont val="等线"/>
        <charset val="134"/>
        <scheme val="minor"/>
      </rPr>
      <t>3</t>
    </r>
    <r>
      <rPr>
        <b/>
        <sz val="11"/>
        <color theme="1"/>
        <rFont val="等线"/>
        <charset val="134"/>
        <scheme val="minor"/>
      </rPr>
      <t>/s）</t>
    </r>
  </si>
  <si>
    <t>表观液速（m/s）</t>
  </si>
  <si>
    <t>表观气速（m/s）</t>
  </si>
  <si>
    <t>气相韦伯数</t>
  </si>
  <si>
    <t>液相韦伯数</t>
  </si>
  <si>
    <t>气液两相流型</t>
  </si>
  <si>
    <t>弹状流</t>
  </si>
  <si>
    <t>环状流</t>
  </si>
  <si>
    <t>气泡流</t>
  </si>
  <si>
    <r>
      <rPr>
        <sz val="11"/>
        <color theme="1"/>
        <rFont val="等线"/>
        <charset val="134"/>
        <scheme val="minor"/>
      </rPr>
      <t>表观气速u</t>
    </r>
    <r>
      <rPr>
        <vertAlign val="subscript"/>
        <sz val="11"/>
        <color theme="1"/>
        <rFont val="等线"/>
        <charset val="134"/>
        <scheme val="minor"/>
      </rPr>
      <t>G</t>
    </r>
    <r>
      <rPr>
        <sz val="11"/>
        <color theme="1"/>
        <rFont val="等线"/>
        <charset val="134"/>
        <scheme val="minor"/>
      </rPr>
      <t>（m/s）</t>
    </r>
  </si>
  <si>
    <r>
      <rPr>
        <sz val="11"/>
        <color theme="1"/>
        <rFont val="等线"/>
        <charset val="134"/>
        <scheme val="minor"/>
      </rPr>
      <t>表观液速u</t>
    </r>
    <r>
      <rPr>
        <vertAlign val="subscript"/>
        <sz val="11"/>
        <color theme="1"/>
        <rFont val="等线"/>
        <charset val="134"/>
        <scheme val="minor"/>
      </rPr>
      <t>L</t>
    </r>
    <r>
      <rPr>
        <sz val="11"/>
        <color theme="1"/>
        <rFont val="等线"/>
        <charset val="134"/>
        <scheme val="minor"/>
      </rPr>
      <t>（m/s）</t>
    </r>
  </si>
  <si>
    <r>
      <rPr>
        <sz val="11"/>
        <color theme="1"/>
        <rFont val="等线"/>
        <charset val="134"/>
        <scheme val="minor"/>
      </rPr>
      <t>气泡速度u</t>
    </r>
    <r>
      <rPr>
        <vertAlign val="subscript"/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（m/s）</t>
    </r>
  </si>
  <si>
    <t>η</t>
  </si>
  <si>
    <r>
      <rPr>
        <sz val="11"/>
        <color theme="1"/>
        <rFont val="等线"/>
        <charset val="134"/>
        <scheme val="minor"/>
      </rPr>
      <t>气泡长度L</t>
    </r>
    <r>
      <rPr>
        <vertAlign val="subscript"/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（m）</t>
    </r>
  </si>
  <si>
    <r>
      <rPr>
        <sz val="11"/>
        <color theme="1"/>
        <rFont val="等线"/>
        <charset val="134"/>
        <scheme val="minor"/>
      </rPr>
      <t>液柱长度L</t>
    </r>
    <r>
      <rPr>
        <vertAlign val="subscript"/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（m）</t>
    </r>
  </si>
  <si>
    <t>通道直径d（m）</t>
  </si>
  <si>
    <r>
      <rPr>
        <sz val="11"/>
        <color theme="1"/>
        <rFont val="等线"/>
        <charset val="134"/>
        <scheme val="minor"/>
      </rPr>
      <t>气液比表面积(m</t>
    </r>
    <r>
      <rPr>
        <vertAlign val="superscript"/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/m</t>
    </r>
    <r>
      <rPr>
        <vertAlign val="superscript"/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)</t>
    </r>
  </si>
  <si>
    <t>平均值</t>
  </si>
  <si>
    <r>
      <t>表观气速u</t>
    </r>
    <r>
      <rPr>
        <vertAlign val="subscript"/>
        <sz val="11"/>
        <color theme="1"/>
        <rFont val="等线"/>
        <charset val="134"/>
        <scheme val="minor"/>
      </rPr>
      <t>G</t>
    </r>
    <r>
      <rPr>
        <sz val="11"/>
        <color theme="1"/>
        <rFont val="等线"/>
        <charset val="134"/>
        <scheme val="minor"/>
      </rPr>
      <t>（m/s）</t>
    </r>
  </si>
  <si>
    <r>
      <t>表观液速u</t>
    </r>
    <r>
      <rPr>
        <vertAlign val="subscript"/>
        <sz val="11"/>
        <color theme="1"/>
        <rFont val="等线"/>
        <charset val="134"/>
        <scheme val="minor"/>
      </rPr>
      <t>L</t>
    </r>
    <r>
      <rPr>
        <sz val="11"/>
        <color theme="1"/>
        <rFont val="等线"/>
        <charset val="134"/>
        <scheme val="minor"/>
      </rPr>
      <t>（m/s）</t>
    </r>
  </si>
  <si>
    <r>
      <t>气体流量Q</t>
    </r>
    <r>
      <rPr>
        <sz val="6"/>
        <color theme="1"/>
        <rFont val="等线"/>
        <charset val="134"/>
        <scheme val="minor"/>
      </rPr>
      <t>G</t>
    </r>
    <r>
      <rPr>
        <sz val="11"/>
        <color theme="1"/>
        <rFont val="等线"/>
        <charset val="134"/>
        <scheme val="minor"/>
      </rPr>
      <t>/(</t>
    </r>
    <r>
      <rPr>
        <sz val="11"/>
        <color theme="1"/>
        <rFont val="Microsoft YaHei"/>
        <charset val="134"/>
      </rPr>
      <t>m³</t>
    </r>
    <r>
      <rPr>
        <sz val="11"/>
        <color theme="1"/>
        <rFont val="等线"/>
        <charset val="134"/>
        <scheme val="minor"/>
      </rPr>
      <t>/s)</t>
    </r>
  </si>
  <si>
    <r>
      <t>液体流量Q</t>
    </r>
    <r>
      <rPr>
        <sz val="6"/>
        <color theme="1"/>
        <rFont val="等线"/>
        <charset val="134"/>
        <scheme val="minor"/>
      </rPr>
      <t>L</t>
    </r>
    <r>
      <rPr>
        <sz val="11"/>
        <color theme="1"/>
        <rFont val="等线"/>
        <charset val="134"/>
        <scheme val="minor"/>
      </rPr>
      <t>/（</t>
    </r>
    <r>
      <rPr>
        <sz val="11"/>
        <color theme="1"/>
        <rFont val="Microsoft YaHei"/>
        <charset val="134"/>
      </rPr>
      <t>m³</t>
    </r>
    <r>
      <rPr>
        <sz val="11"/>
        <color theme="1"/>
        <rFont val="等线"/>
        <charset val="134"/>
        <scheme val="minor"/>
      </rPr>
      <t>/s）</t>
    </r>
  </si>
  <si>
    <t>通道直径d/（m）</t>
  </si>
  <si>
    <r>
      <t>气液比表面积a(</t>
    </r>
    <r>
      <rPr>
        <sz val="11"/>
        <color theme="1"/>
        <rFont val="SimSun"/>
        <charset val="134"/>
      </rPr>
      <t>㎡</t>
    </r>
    <r>
      <rPr>
        <sz val="11"/>
        <color theme="1"/>
        <rFont val="等线"/>
        <charset val="134"/>
        <scheme val="minor"/>
      </rPr>
      <t>/</t>
    </r>
    <r>
      <rPr>
        <sz val="11"/>
        <color theme="1"/>
        <rFont val="Microsoft YaHei"/>
        <charset val="134"/>
      </rPr>
      <t>m³</t>
    </r>
    <r>
      <rPr>
        <sz val="11"/>
        <color theme="1"/>
        <rFont val="等线"/>
        <charset val="134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</si>
</sst>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"/>
    <numFmt numFmtId="178" formatCode="0.0"/>
  </numFmts>
  <fonts count="17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theme="1"/>
      <name val="Calibri"/>
      <family val="2"/>
    </font>
    <font>
      <b/>
      <vertAlign val="subscript"/>
      <sz val="11"/>
      <color theme="1"/>
      <name val="等线"/>
      <charset val="134"/>
      <scheme val="minor"/>
    </font>
    <font>
      <b/>
      <sz val="11"/>
      <color theme="1"/>
      <name val="Calibri"/>
      <family val="2"/>
    </font>
    <font>
      <b/>
      <vertAlign val="subscript"/>
      <sz val="9.35"/>
      <color theme="1"/>
      <name val="等线"/>
      <charset val="134"/>
    </font>
    <font>
      <b/>
      <vertAlign val="superscript"/>
      <sz val="11"/>
      <color theme="1"/>
      <name val="等线"/>
      <charset val="134"/>
      <scheme val="minor"/>
    </font>
    <font>
      <vertAlign val="subscript"/>
      <sz val="11"/>
      <color theme="1"/>
      <name val="等线"/>
      <charset val="134"/>
      <scheme val="minor"/>
    </font>
    <font>
      <vertAlign val="superscript"/>
      <sz val="11"/>
      <color theme="1"/>
      <name val="等线"/>
      <charset val="134"/>
      <scheme val="minor"/>
    </font>
    <font>
      <sz val="6"/>
      <color theme="1"/>
      <name val="等线"/>
      <charset val="134"/>
      <scheme val="minor"/>
    </font>
    <font>
      <sz val="11"/>
      <color theme="1"/>
      <name val="Microsoft YaHei"/>
      <charset val="134"/>
    </font>
    <font>
      <sz val="11"/>
      <color theme="1"/>
      <name val="SimSun"/>
      <charset val="134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2" borderId="2" xfId="0" applyNumberFormat="1" applyFill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Sheet1!$S$16:$S$19</c:f>
              <c:numCache>
                <c:formatCode>General</c:formatCode>
                <c:ptCount val="4"/>
                <c:pt idx="0">
                  <c:v>1.8110198712370445E-2</c:v>
                </c:pt>
                <c:pt idx="1">
                  <c:v>1.1318874195231528E-3</c:v>
                </c:pt>
                <c:pt idx="2">
                  <c:v>2.5467466939270945E-3</c:v>
                </c:pt>
                <c:pt idx="3">
                  <c:v>4.9916235200971057E-3</c:v>
                </c:pt>
              </c:numCache>
            </c:numRef>
          </c:xVal>
          <c:yVal>
            <c:numRef>
              <c:f>Sheet1!$T$16:$T$19</c:f>
              <c:numCache>
                <c:formatCode>General</c:formatCode>
                <c:ptCount val="4"/>
                <c:pt idx="0">
                  <c:v>2.79</c:v>
                </c:pt>
                <c:pt idx="1">
                  <c:v>3.35</c:v>
                </c:pt>
                <c:pt idx="2" formatCode="0.00">
                  <c:v>3.67</c:v>
                </c:pt>
                <c:pt idx="3">
                  <c:v>4.13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A5-464A-BE3A-05B2981D1AF1}"/>
            </c:ext>
          </c:extLst>
        </c:ser>
        <c:ser>
          <c:idx val="2"/>
          <c:order val="1"/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Sheet1!$S$20:$S$22</c:f>
              <c:numCache>
                <c:formatCode>General</c:formatCode>
                <c:ptCount val="3"/>
                <c:pt idx="0">
                  <c:v>8.6639693701055578E-3</c:v>
                </c:pt>
                <c:pt idx="1">
                  <c:v>2.829718548807883E-2</c:v>
                </c:pt>
                <c:pt idx="2">
                  <c:v>8.5017321733072401E-2</c:v>
                </c:pt>
              </c:numCache>
            </c:numRef>
          </c:xVal>
          <c:yVal>
            <c:numRef>
              <c:f>Sheet1!$T$20:$T$22</c:f>
              <c:numCache>
                <c:formatCode>0.00</c:formatCode>
                <c:ptCount val="3"/>
                <c:pt idx="0" formatCode="General">
                  <c:v>2.72</c:v>
                </c:pt>
                <c:pt idx="1">
                  <c:v>2.83</c:v>
                </c:pt>
                <c:pt idx="2" formatCode="General">
                  <c:v>2.96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A5-464A-BE3A-05B2981D1AF1}"/>
            </c:ext>
          </c:extLst>
        </c:ser>
        <c:ser>
          <c:idx val="0"/>
          <c:order val="2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Sheet1!$S$23:$S$26</c:f>
              <c:numCache>
                <c:formatCode>General</c:formatCode>
                <c:ptCount val="4"/>
                <c:pt idx="0">
                  <c:v>0.17217265303635515</c:v>
                </c:pt>
                <c:pt idx="1">
                  <c:v>0.39439988306940094</c:v>
                </c:pt>
                <c:pt idx="2">
                  <c:v>0.6794154235687726</c:v>
                </c:pt>
                <c:pt idx="3">
                  <c:v>1.6058967177656824</c:v>
                </c:pt>
              </c:numCache>
            </c:numRef>
          </c:xVal>
          <c:yVal>
            <c:numRef>
              <c:f>Sheet1!$T$23:$T$26</c:f>
              <c:numCache>
                <c:formatCode>0.00</c:formatCode>
                <c:ptCount val="4"/>
                <c:pt idx="0">
                  <c:v>3.5</c:v>
                </c:pt>
                <c:pt idx="1">
                  <c:v>4.53</c:v>
                </c:pt>
                <c:pt idx="2" formatCode="General">
                  <c:v>5.25</c:v>
                </c:pt>
                <c:pt idx="3" formatCode="General">
                  <c:v>6.37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A5-464A-BE3A-05B2981D1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998415"/>
        <c:axId val="245002255"/>
      </c:scatterChart>
      <c:valAx>
        <c:axId val="24499841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两相流速平方（</a:t>
                </a:r>
                <a:r>
                  <a:rPr lang="en-US" altLang="zh-CN"/>
                  <a:t>SI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002255"/>
        <c:crosses val="autoZero"/>
        <c:crossBetween val="midCat"/>
      </c:valAx>
      <c:valAx>
        <c:axId val="24500225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两相流压降（</a:t>
                </a:r>
                <a:r>
                  <a:rPr lang="en-US" altLang="zh-CN"/>
                  <a:t>kPa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99841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169139465875"/>
          <c:y val="6.6218809980806106E-2"/>
          <c:w val="0.83893175074184001"/>
          <c:h val="0.73090211132437599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Sheet1!$S$69:$S$72</c:f>
              <c:numCache>
                <c:formatCode>General</c:formatCode>
                <c:ptCount val="4"/>
                <c:pt idx="0">
                  <c:v>8.4173213837571106E-2</c:v>
                </c:pt>
                <c:pt idx="1">
                  <c:v>0.33669285535028443</c:v>
                </c:pt>
                <c:pt idx="2">
                  <c:v>0.13914347593557672</c:v>
                </c:pt>
                <c:pt idx="3">
                  <c:v>0.23114995212211359</c:v>
                </c:pt>
              </c:numCache>
            </c:numRef>
          </c:xVal>
          <c:yVal>
            <c:numRef>
              <c:f>Sheet1!$T$69:$T$72</c:f>
              <c:numCache>
                <c:formatCode>0.00</c:formatCode>
                <c:ptCount val="4"/>
                <c:pt idx="0" formatCode="General">
                  <c:v>13.81</c:v>
                </c:pt>
                <c:pt idx="1">
                  <c:v>20.8</c:v>
                </c:pt>
                <c:pt idx="2" formatCode="General">
                  <c:v>30.43</c:v>
                </c:pt>
                <c:pt idx="3" formatCode="General">
                  <c:v>40.909999999999997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F0-4767-9A74-9DDF660D53EE}"/>
            </c:ext>
          </c:extLst>
        </c:ser>
        <c:ser>
          <c:idx val="2"/>
          <c:order val="1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Sheet1!$S$73:$S$76</c:f>
              <c:numCache>
                <c:formatCode>General</c:formatCode>
                <c:ptCount val="4"/>
                <c:pt idx="0">
                  <c:v>0.46202505293373725</c:v>
                </c:pt>
                <c:pt idx="1">
                  <c:v>1.5460386215064081</c:v>
                </c:pt>
                <c:pt idx="2">
                  <c:v>4.6449871472814754</c:v>
                </c:pt>
                <c:pt idx="3">
                  <c:v>2.2760437021679225</c:v>
                </c:pt>
              </c:numCache>
            </c:numRef>
          </c:xVal>
          <c:yVal>
            <c:numRef>
              <c:f>Sheet1!$T$73:$T$76</c:f>
              <c:numCache>
                <c:formatCode>0.00</c:formatCode>
                <c:ptCount val="4"/>
                <c:pt idx="0">
                  <c:v>5.3</c:v>
                </c:pt>
                <c:pt idx="1">
                  <c:v>6.9</c:v>
                </c:pt>
                <c:pt idx="2">
                  <c:v>8.1999999999999993</c:v>
                </c:pt>
                <c:pt idx="3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F0-4767-9A74-9DDF660D53EE}"/>
            </c:ext>
          </c:extLst>
        </c:ser>
        <c:ser>
          <c:idx val="0"/>
          <c:order val="2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yVal>
            <c:numRef>
              <c:f>Sheet1!$T$77:$T$78</c:f>
              <c:numCache>
                <c:formatCode>General</c:formatCode>
                <c:ptCount val="2"/>
                <c:pt idx="0" formatCode="0.00">
                  <c:v>40.04</c:v>
                </c:pt>
                <c:pt idx="1">
                  <c:v>44.08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F0-4767-9A74-9DDF660D5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39215"/>
        <c:axId val="245040175"/>
      </c:scatterChart>
      <c:valAx>
        <c:axId val="24503921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两相流速平方（</a:t>
                </a:r>
                <a:r>
                  <a:rPr lang="en-US" altLang="zh-CN"/>
                  <a:t>SI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040175"/>
        <c:crosses val="autoZero"/>
        <c:crossBetween val="midCat"/>
      </c:valAx>
      <c:valAx>
        <c:axId val="24504017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两相流压降（</a:t>
                </a:r>
                <a:r>
                  <a:rPr lang="en-US" altLang="zh-CN"/>
                  <a:t>kPa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03921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73293768546"/>
          <c:y val="0.11766104112193999"/>
          <c:w val="0.783367952522255"/>
          <c:h val="0.72388875683384801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(Sheet1!$E$16,Sheet1!$E$20,Sheet1!$E$23)</c:f>
              <c:numCache>
                <c:formatCode>0</c:formatCode>
                <c:ptCount val="3"/>
                <c:pt idx="0">
                  <c:v>97.080846072647361</c:v>
                </c:pt>
                <c:pt idx="1">
                  <c:v>97.080846072647361</c:v>
                </c:pt>
                <c:pt idx="2">
                  <c:v>291.24253821794201</c:v>
                </c:pt>
              </c:numCache>
            </c:numRef>
          </c:xVal>
          <c:yVal>
            <c:numRef>
              <c:f>(Sheet1!$J$16,Sheet1!$J$20,Sheet1!$J$23)</c:f>
              <c:numCache>
                <c:formatCode>0.0000</c:formatCode>
                <c:ptCount val="3"/>
                <c:pt idx="0">
                  <c:v>0.11545694447501209</c:v>
                </c:pt>
                <c:pt idx="1">
                  <c:v>0.16400272664944537</c:v>
                </c:pt>
                <c:pt idx="2">
                  <c:v>3.7503773410342903E-2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26-4535-89EA-D2ED9DFE2369}"/>
            </c:ext>
          </c:extLst>
        </c:ser>
        <c:ser>
          <c:idx val="2"/>
          <c:order val="1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(Sheet1!$E$17,Sheet1!$E$21,Sheet1!$E$24)</c:f>
              <c:numCache>
                <c:formatCode>0</c:formatCode>
                <c:ptCount val="3"/>
                <c:pt idx="0">
                  <c:v>97.080846072647361</c:v>
                </c:pt>
                <c:pt idx="1">
                  <c:v>242.70211518161801</c:v>
                </c:pt>
                <c:pt idx="2">
                  <c:v>291.24253821794201</c:v>
                </c:pt>
              </c:numCache>
            </c:numRef>
          </c:xVal>
          <c:yVal>
            <c:numRef>
              <c:f>(Sheet1!$J$17,Sheet1!$J$21,Sheet1!$J$24)</c:f>
              <c:numCache>
                <c:formatCode>0.0000</c:formatCode>
                <c:ptCount val="3"/>
                <c:pt idx="0">
                  <c:v>0.44179849335432769</c:v>
                </c:pt>
                <c:pt idx="1">
                  <c:v>8.9722248474413083E-2</c:v>
                </c:pt>
                <c:pt idx="2">
                  <c:v>2.5494962925511643E-2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26-4535-89EA-D2ED9DFE2369}"/>
            </c:ext>
          </c:extLst>
        </c:ser>
        <c:ser>
          <c:idx val="0"/>
          <c:order val="2"/>
          <c:spPr>
            <a:ln w="19050" cap="rnd" cmpd="sng" algn="ctr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(Sheet1!$E$18,Sheet1!$E$22,Sheet1!$E$25)</c:f>
              <c:numCache>
                <c:formatCode>0</c:formatCode>
                <c:ptCount val="3"/>
                <c:pt idx="0">
                  <c:v>97.080846072647361</c:v>
                </c:pt>
                <c:pt idx="1">
                  <c:v>291.24253821794201</c:v>
                </c:pt>
                <c:pt idx="2">
                  <c:v>655.29571099036968</c:v>
                </c:pt>
              </c:numCache>
            </c:numRef>
          </c:xVal>
          <c:yVal>
            <c:numRef>
              <c:f>(Sheet1!$J$18,Sheet1!$J$22,Sheet1!$J$25)</c:f>
              <c:numCache>
                <c:formatCode>0.0000</c:formatCode>
                <c:ptCount val="3"/>
                <c:pt idx="0">
                  <c:v>0.29681489674001732</c:v>
                </c:pt>
                <c:pt idx="1">
                  <c:v>5.2448225838213389E-2</c:v>
                </c:pt>
                <c:pt idx="2">
                  <c:v>1.8751849971708423E-2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26-4535-89EA-D2ED9DFE2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20495"/>
        <c:axId val="245036335"/>
      </c:scatterChart>
      <c:valAx>
        <c:axId val="24502049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000" b="1" i="0" u="none" strike="noStrike" baseline="0">
                    <a:effectLst/>
                  </a:rPr>
                  <a:t>λ</a:t>
                </a:r>
                <a:r>
                  <a:rPr lang="en-US" altLang="zh-CN" sz="1000" b="1" i="0" u="none" strike="noStrike" baseline="-25000">
                    <a:effectLst/>
                  </a:rPr>
                  <a:t>gl</a:t>
                </a:r>
                <a:r>
                  <a:rPr lang="en-US" altLang="zh-CN" sz="1000" b="1" i="0" u="none" strike="noStrike" baseline="0"/>
                  <a:t> </a:t>
                </a:r>
                <a:endParaRPr lang="zh-CN" alt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036335"/>
        <c:crosses val="autoZero"/>
        <c:crossBetween val="midCat"/>
      </c:valAx>
      <c:valAx>
        <c:axId val="24503633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u="none" strike="noStrike" baseline="0">
                    <a:effectLst/>
                  </a:rPr>
                  <a:t>Re</a:t>
                </a:r>
                <a:r>
                  <a:rPr lang="en-US" altLang="zh-CN" sz="1000" b="1" i="0" u="none" strike="noStrike" baseline="-25000">
                    <a:effectLst/>
                  </a:rPr>
                  <a:t>l</a:t>
                </a:r>
                <a:r>
                  <a:rPr lang="en-US" altLang="zh-CN" sz="1000" b="1" i="0" u="none" strike="noStrike" baseline="0"/>
                  <a:t> </a:t>
                </a:r>
                <a:endParaRPr lang="zh-CN" alt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02049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11242603550301"/>
          <c:y val="0.123856439127375"/>
          <c:w val="0.78400887573964495"/>
          <c:h val="0.7275158339197750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Sheet1!$E$69:$E$71</c:f>
              <c:numCache>
                <c:formatCode>0</c:formatCode>
                <c:ptCount val="3"/>
                <c:pt idx="0">
                  <c:v>263.93855026000995</c:v>
                </c:pt>
                <c:pt idx="1">
                  <c:v>263.93855026000995</c:v>
                </c:pt>
                <c:pt idx="2">
                  <c:v>263.93855026000995</c:v>
                </c:pt>
              </c:numCache>
            </c:numRef>
          </c:xVal>
          <c:yVal>
            <c:numRef>
              <c:f>Sheet1!$J$69:$J$71</c:f>
              <c:numCache>
                <c:formatCode>0.0000</c:formatCode>
                <c:ptCount val="3"/>
                <c:pt idx="0">
                  <c:v>0.13964727312114092</c:v>
                </c:pt>
                <c:pt idx="1">
                  <c:v>7.1070163781736459E-2</c:v>
                </c:pt>
                <c:pt idx="2">
                  <c:v>0.10917329535265008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0B-4F87-BD32-EFF04D064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76655"/>
        <c:axId val="245065615"/>
      </c:scatterChart>
      <c:valAx>
        <c:axId val="24507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u="none" strike="noStrike" baseline="0">
                    <a:effectLst/>
                  </a:rPr>
                  <a:t>Re</a:t>
                </a:r>
                <a:r>
                  <a:rPr lang="en-US" altLang="zh-CN" sz="1000" b="1" i="0" u="none" strike="noStrike" baseline="-25000">
                    <a:effectLst/>
                  </a:rPr>
                  <a:t>l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065615"/>
        <c:crosses val="autoZero"/>
        <c:crossBetween val="midCat"/>
      </c:valAx>
      <c:valAx>
        <c:axId val="245065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000" b="1" i="0" u="none" strike="noStrike" baseline="0">
                    <a:effectLst/>
                  </a:rPr>
                  <a:t>λ</a:t>
                </a:r>
                <a:r>
                  <a:rPr lang="en-US" altLang="zh-CN" sz="1000" b="1" i="0" u="none" strike="noStrike" baseline="-25000">
                    <a:effectLst/>
                  </a:rPr>
                  <a:t>gl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07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Sheet1!$J$97:$J$99</c:f>
              <c:numCache>
                <c:formatCode>0.000</c:formatCode>
                <c:ptCount val="3"/>
                <c:pt idx="0">
                  <c:v>0.112145115290817</c:v>
                </c:pt>
                <c:pt idx="1">
                  <c:v>1.12145115290817E-2</c:v>
                </c:pt>
                <c:pt idx="2">
                  <c:v>5.6072557645408402E-2</c:v>
                </c:pt>
              </c:numCache>
            </c:numRef>
          </c:xVal>
          <c:yVal>
            <c:numRef>
              <c:f>Sheet1!$K$97:$K$99</c:f>
              <c:numCache>
                <c:formatCode>0.000</c:formatCode>
                <c:ptCount val="3"/>
                <c:pt idx="0">
                  <c:v>1.12145115290817E-2</c:v>
                </c:pt>
                <c:pt idx="1">
                  <c:v>5.6072557645408402E-2</c:v>
                </c:pt>
                <c:pt idx="2">
                  <c:v>0.112145115290817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8-46F0-B869-7C6E3C3AB3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35916271"/>
        <c:axId val="1335912911"/>
      </c:scatterChart>
      <c:valAx>
        <c:axId val="133591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气速（</a:t>
                </a:r>
                <a:r>
                  <a:rPr lang="en-US" altLang="zh-CN"/>
                  <a:t>m/s)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295353018372703"/>
              <c:y val="0.87708333333333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912911"/>
        <c:crosses val="autoZero"/>
        <c:crossBetween val="midCat"/>
      </c:valAx>
      <c:valAx>
        <c:axId val="1335912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液速（</a:t>
                </a:r>
                <a:r>
                  <a:rPr lang="en-US" altLang="zh-CN"/>
                  <a:t>m/s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91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xVal>
            <c:numRef>
              <c:f>(Sheet1!$U$93,Sheet1!$U$95)</c:f>
              <c:numCache>
                <c:formatCode>0.000</c:formatCode>
                <c:ptCount val="2"/>
                <c:pt idx="0">
                  <c:v>51.826347047763399</c:v>
                </c:pt>
                <c:pt idx="1">
                  <c:v>207.30538819105399</c:v>
                </c:pt>
              </c:numCache>
            </c:numRef>
          </c:xVal>
          <c:yVal>
            <c:numRef>
              <c:f>(Sheet1!$V$93,Sheet1!$V$95)</c:f>
              <c:numCache>
                <c:formatCode>0.000</c:formatCode>
                <c:ptCount val="2"/>
                <c:pt idx="0">
                  <c:v>0.32200000000000001</c:v>
                </c:pt>
                <c:pt idx="1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4-4894-AEB5-55C8349DF681}"/>
            </c:ext>
          </c:extLst>
        </c:ser>
        <c:ser>
          <c:idx val="0"/>
          <c:order val="1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Sheet1!$U$93:$U$94</c:f>
              <c:numCache>
                <c:formatCode>0.000</c:formatCode>
                <c:ptCount val="2"/>
                <c:pt idx="0">
                  <c:v>51.826347047763399</c:v>
                </c:pt>
                <c:pt idx="1">
                  <c:v>207.30538819105399</c:v>
                </c:pt>
              </c:numCache>
            </c:numRef>
          </c:xVal>
          <c:yVal>
            <c:numRef>
              <c:f>Sheet1!$V$93:$V$94</c:f>
              <c:numCache>
                <c:formatCode>0.000</c:formatCode>
                <c:ptCount val="2"/>
                <c:pt idx="0">
                  <c:v>0.32200000000000001</c:v>
                </c:pt>
                <c:pt idx="1">
                  <c:v>1.2889999999999999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4-4894-AEB5-55C8349DF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614175"/>
        <c:axId val="1485611775"/>
      </c:scatterChart>
      <c:valAx>
        <c:axId val="1485614175"/>
        <c:scaling>
          <c:orientation val="minMax"/>
          <c:min val="5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液相韦伯数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5611775"/>
        <c:crosses val="autoZero"/>
        <c:crossBetween val="midCat"/>
      </c:valAx>
      <c:valAx>
        <c:axId val="148561177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气相韦伯数</a:t>
                </a:r>
                <a:endParaRPr lang="en-US" altLang="zh-CN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561417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108705161855"/>
          <c:y val="2.54283318751823E-2"/>
          <c:w val="0.80855796150481196"/>
          <c:h val="0.73727653834937301"/>
        </c:manualLayout>
      </c:layout>
      <c:scatterChart>
        <c:scatterStyle val="lineMarker"/>
        <c:varyColors val="0"/>
        <c:ser>
          <c:idx val="1"/>
          <c:order val="0"/>
          <c:xVal>
            <c:numRef>
              <c:f>Sheet1!$P$109:$P$112</c:f>
              <c:numCache>
                <c:formatCode>General</c:formatCode>
                <c:ptCount val="4"/>
                <c:pt idx="0">
                  <c:v>652.39431940490203</c:v>
                </c:pt>
                <c:pt idx="1">
                  <c:v>707.89314171538797</c:v>
                </c:pt>
                <c:pt idx="2">
                  <c:v>765.65722207936403</c:v>
                </c:pt>
              </c:numCache>
            </c:numRef>
          </c:xVal>
          <c:yVal>
            <c:numRef>
              <c:f>Sheet1!$Q$109:$Q$112</c:f>
              <c:numCache>
                <c:formatCode>General</c:formatCode>
                <c:ptCount val="4"/>
                <c:pt idx="0">
                  <c:v>3.7248815659145502</c:v>
                </c:pt>
                <c:pt idx="1">
                  <c:v>7.2103567551918699</c:v>
                </c:pt>
                <c:pt idx="2">
                  <c:v>17.6034100468551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C-4402-9B31-551D8606DAF9}"/>
            </c:ext>
          </c:extLst>
        </c:ser>
        <c:ser>
          <c:idx val="0"/>
          <c:order val="1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Sheet1!$P$106:$P$107</c:f>
              <c:numCache>
                <c:formatCode>General</c:formatCode>
                <c:ptCount val="2"/>
                <c:pt idx="0">
                  <c:v>12726.219744502599</c:v>
                </c:pt>
                <c:pt idx="1">
                  <c:v>24143.1203340883</c:v>
                </c:pt>
              </c:numCache>
            </c:numRef>
          </c:xVal>
          <c:yVal>
            <c:numRef>
              <c:f>Sheet1!$Q$106:$Q$107</c:f>
              <c:numCache>
                <c:formatCode>General</c:formatCode>
                <c:ptCount val="2"/>
                <c:pt idx="0">
                  <c:v>0.345026836918361</c:v>
                </c:pt>
                <c:pt idx="1">
                  <c:v>2.81654560749682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C-4402-9B31-551D8606D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214031"/>
        <c:axId val="1460214991"/>
      </c:scatterChart>
      <c:valAx>
        <c:axId val="146021403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液相韦伯数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0214991"/>
        <c:crosses val="autoZero"/>
        <c:crossBetween val="midCat"/>
      </c:valAx>
      <c:valAx>
        <c:axId val="1460214991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气相韦伯数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02140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209550</xdr:colOff>
      <xdr:row>27</xdr:row>
      <xdr:rowOff>70485</xdr:rowOff>
    </xdr:from>
    <xdr:to>
      <xdr:col>28</xdr:col>
      <xdr:colOff>146050</xdr:colOff>
      <xdr:row>42</xdr:row>
      <xdr:rowOff>63681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354965</xdr:colOff>
      <xdr:row>45</xdr:row>
      <xdr:rowOff>105410</xdr:rowOff>
    </xdr:from>
    <xdr:to>
      <xdr:col>28</xdr:col>
      <xdr:colOff>291465</xdr:colOff>
      <xdr:row>60</xdr:row>
      <xdr:rowOff>96240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288925</xdr:colOff>
      <xdr:row>63</xdr:row>
      <xdr:rowOff>80645</xdr:rowOff>
    </xdr:from>
    <xdr:to>
      <xdr:col>28</xdr:col>
      <xdr:colOff>225425</xdr:colOff>
      <xdr:row>78</xdr:row>
      <xdr:rowOff>86294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432435</xdr:colOff>
      <xdr:row>79</xdr:row>
      <xdr:rowOff>140970</xdr:rowOff>
    </xdr:from>
    <xdr:to>
      <xdr:col>29</xdr:col>
      <xdr:colOff>381635</xdr:colOff>
      <xdr:row>94</xdr:row>
      <xdr:rowOff>151765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489585</xdr:colOff>
      <xdr:row>98</xdr:row>
      <xdr:rowOff>66675</xdr:rowOff>
    </xdr:from>
    <xdr:to>
      <xdr:col>34</xdr:col>
      <xdr:colOff>426085</xdr:colOff>
      <xdr:row>113</xdr:row>
      <xdr:rowOff>33565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333375</xdr:colOff>
      <xdr:row>105</xdr:row>
      <xdr:rowOff>57150</xdr:rowOff>
    </xdr:from>
    <xdr:to>
      <xdr:col>26</xdr:col>
      <xdr:colOff>269875</xdr:colOff>
      <xdr:row>120</xdr:row>
      <xdr:rowOff>16419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332740</xdr:colOff>
      <xdr:row>112</xdr:row>
      <xdr:rowOff>163195</xdr:rowOff>
    </xdr:from>
    <xdr:to>
      <xdr:col>18</xdr:col>
      <xdr:colOff>269240</xdr:colOff>
      <xdr:row>127</xdr:row>
      <xdr:rowOff>131989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0.25794</cdr:x>
      <cdr:y>0.19246</cdr:y>
    </cdr:from>
    <cdr:to>
      <cdr:x>0.50595</cdr:x>
      <cdr:y>0.35119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179284" y="527956"/>
          <a:ext cx="1133929" cy="435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弹状流</a:t>
          </a:r>
        </a:p>
      </cdr:txBody>
    </cdr:sp>
  </cdr:relSizeAnchor>
  <cdr:relSizeAnchor xmlns:cdr="http://schemas.openxmlformats.org/drawingml/2006/chartDrawing">
    <cdr:from>
      <cdr:x>0.56746</cdr:x>
      <cdr:y>0.50992</cdr:y>
    </cdr:from>
    <cdr:to>
      <cdr:x>0.77183</cdr:x>
      <cdr:y>0.60251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2594428" y="1398815"/>
          <a:ext cx="934357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环状流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0.30489</cdr:y>
    </cdr:from>
    <cdr:to>
      <cdr:x>0.48214</cdr:x>
      <cdr:y>0.4504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524000" y="836384"/>
          <a:ext cx="680357" cy="399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弹状流</a:t>
          </a:r>
        </a:p>
      </cdr:txBody>
    </cdr:sp>
  </cdr:relSizeAnchor>
  <cdr:relSizeAnchor xmlns:cdr="http://schemas.openxmlformats.org/drawingml/2006/chartDrawing">
    <cdr:from>
      <cdr:x>0.58254</cdr:x>
      <cdr:y>0.58399</cdr:y>
    </cdr:from>
    <cdr:to>
      <cdr:x>0.73135</cdr:x>
      <cdr:y>0.7295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2663371" y="1602015"/>
          <a:ext cx="680357" cy="399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/>
            <a:t>环状流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0.59643</cdr:x>
      <cdr:y>0.56415</cdr:y>
    </cdr:from>
    <cdr:to>
      <cdr:x>0.74325</cdr:x>
      <cdr:y>0.80886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2726871" y="1547586"/>
          <a:ext cx="671285" cy="6712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/>
            <a:t>弹状流</a:t>
          </a:r>
        </a:p>
      </cdr:txBody>
    </cdr:sp>
  </cdr:relSizeAnchor>
  <cdr:relSizeAnchor xmlns:cdr="http://schemas.openxmlformats.org/drawingml/2006/chartDrawing">
    <cdr:from>
      <cdr:x>0.18571</cdr:x>
      <cdr:y>0.13757</cdr:y>
    </cdr:from>
    <cdr:to>
      <cdr:x>0.34643</cdr:x>
      <cdr:y>0.31614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849086" y="377371"/>
          <a:ext cx="734786" cy="4898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/>
            <a:t>气泡流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9"/>
  <sheetViews>
    <sheetView tabSelected="1" topLeftCell="A115" zoomScale="55" zoomScaleNormal="55" workbookViewId="0">
      <selection activeCell="K137" sqref="K137"/>
    </sheetView>
  </sheetViews>
  <sheetFormatPr defaultColWidth="9" defaultRowHeight="14"/>
  <cols>
    <col min="2" max="2" width="26.9140625" customWidth="1"/>
    <col min="3" max="4" width="21.58203125" customWidth="1"/>
    <col min="5" max="5" width="22.25" customWidth="1"/>
    <col min="6" max="7" width="17.75" customWidth="1"/>
    <col min="8" max="8" width="22.4140625" customWidth="1"/>
    <col min="9" max="9" width="26.9140625" customWidth="1"/>
    <col min="10" max="11" width="21.58203125" customWidth="1"/>
    <col min="12" max="12" width="15.58203125" customWidth="1"/>
    <col min="13" max="13" width="9.6640625" customWidth="1"/>
  </cols>
  <sheetData>
    <row r="1" spans="1:20" ht="14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20">
      <c r="A2" s="2">
        <v>1</v>
      </c>
      <c r="B2" s="2">
        <v>4.3499999999999996</v>
      </c>
      <c r="C2" s="2">
        <v>20</v>
      </c>
      <c r="D2" s="3">
        <v>0</v>
      </c>
      <c r="E2" s="2">
        <v>0.12</v>
      </c>
      <c r="G2" s="2">
        <v>1</v>
      </c>
      <c r="H2" s="2">
        <v>4.3499999999999996</v>
      </c>
      <c r="I2" s="2">
        <v>20</v>
      </c>
      <c r="J2" s="2">
        <v>100</v>
      </c>
      <c r="K2" s="2">
        <v>4.7</v>
      </c>
    </row>
    <row r="3" spans="1:20">
      <c r="A3" s="2">
        <v>2</v>
      </c>
      <c r="B3" s="2">
        <v>4.3499999999999996</v>
      </c>
      <c r="C3" s="2">
        <v>40</v>
      </c>
      <c r="D3" s="2">
        <v>0</v>
      </c>
      <c r="E3" s="2">
        <v>0.15</v>
      </c>
      <c r="G3" s="2">
        <v>2</v>
      </c>
      <c r="H3" s="2">
        <v>4.3499999999999996</v>
      </c>
      <c r="I3" s="2">
        <v>20</v>
      </c>
      <c r="J3" s="2">
        <v>10</v>
      </c>
      <c r="K3" s="2">
        <v>3.1</v>
      </c>
    </row>
    <row r="4" spans="1:20">
      <c r="A4" s="2">
        <v>3</v>
      </c>
      <c r="B4" s="2">
        <v>4.3499999999999996</v>
      </c>
      <c r="C4" s="2">
        <v>80</v>
      </c>
      <c r="D4" s="2">
        <v>0</v>
      </c>
      <c r="E4" s="2">
        <v>0.27</v>
      </c>
      <c r="G4" s="2">
        <v>3</v>
      </c>
      <c r="H4" s="2">
        <v>4.3499999999999996</v>
      </c>
      <c r="I4" s="2">
        <v>20</v>
      </c>
      <c r="J4" s="2">
        <v>25</v>
      </c>
      <c r="K4" s="11">
        <v>4.5999999999999996</v>
      </c>
    </row>
    <row r="5" spans="1:20">
      <c r="A5" s="2">
        <v>4</v>
      </c>
      <c r="B5" s="2">
        <v>4.3499999999999996</v>
      </c>
      <c r="C5" s="2">
        <v>120</v>
      </c>
      <c r="D5" s="2">
        <v>0</v>
      </c>
      <c r="E5" s="2">
        <v>0.45</v>
      </c>
      <c r="G5" s="2">
        <v>4</v>
      </c>
      <c r="H5" s="2">
        <v>4.3499999999999996</v>
      </c>
      <c r="I5" s="2">
        <v>20</v>
      </c>
      <c r="J5" s="2">
        <v>43</v>
      </c>
      <c r="K5" s="2">
        <v>3.81</v>
      </c>
    </row>
    <row r="6" spans="1:20">
      <c r="A6" s="2">
        <v>5</v>
      </c>
      <c r="B6" s="2">
        <v>4.3499999999999996</v>
      </c>
      <c r="C6" s="2">
        <v>160</v>
      </c>
      <c r="D6" s="2">
        <v>0</v>
      </c>
      <c r="E6" s="2">
        <v>0.73</v>
      </c>
      <c r="G6" s="2">
        <v>5</v>
      </c>
      <c r="H6" s="2">
        <v>4.3499999999999996</v>
      </c>
      <c r="I6" s="2">
        <v>20</v>
      </c>
      <c r="J6" s="2">
        <v>63</v>
      </c>
      <c r="K6" s="2">
        <v>2.79</v>
      </c>
    </row>
    <row r="7" spans="1:20">
      <c r="A7" s="2">
        <v>6</v>
      </c>
      <c r="B7" s="2">
        <v>4.3499999999999996</v>
      </c>
      <c r="C7" s="2">
        <v>200</v>
      </c>
      <c r="D7" s="2">
        <v>0</v>
      </c>
      <c r="E7" s="2">
        <v>0.9</v>
      </c>
      <c r="G7" s="2">
        <v>6</v>
      </c>
      <c r="H7" s="2">
        <v>4.3499999999999996</v>
      </c>
      <c r="I7" s="3">
        <v>50</v>
      </c>
      <c r="J7" s="2">
        <v>100</v>
      </c>
      <c r="K7" s="11">
        <v>2.1</v>
      </c>
    </row>
    <row r="8" spans="1:20">
      <c r="A8" s="2">
        <v>7</v>
      </c>
      <c r="B8" s="2">
        <v>4.3499999999999996</v>
      </c>
      <c r="C8" s="2">
        <v>260</v>
      </c>
      <c r="D8" s="2">
        <v>0</v>
      </c>
      <c r="E8" s="2">
        <v>1.08</v>
      </c>
      <c r="G8" s="2">
        <v>7</v>
      </c>
      <c r="H8" s="2">
        <v>4.3499999999999996</v>
      </c>
      <c r="I8" s="2">
        <v>60</v>
      </c>
      <c r="J8" s="2">
        <v>200</v>
      </c>
      <c r="K8" s="2">
        <v>3.85</v>
      </c>
    </row>
    <row r="9" spans="1:20">
      <c r="A9" s="2">
        <v>8</v>
      </c>
      <c r="B9" s="2">
        <v>4.3499999999999996</v>
      </c>
      <c r="C9" s="2">
        <v>290</v>
      </c>
      <c r="D9" s="2">
        <v>0</v>
      </c>
      <c r="E9" s="2">
        <v>1.32</v>
      </c>
      <c r="G9" s="2">
        <v>8</v>
      </c>
      <c r="H9" s="2">
        <v>4.3499999999999996</v>
      </c>
      <c r="I9" s="2">
        <v>60</v>
      </c>
      <c r="J9" s="2">
        <v>310</v>
      </c>
      <c r="K9" s="11">
        <v>2.2000000000000002</v>
      </c>
    </row>
    <row r="10" spans="1:20">
      <c r="A10" s="2">
        <v>9</v>
      </c>
      <c r="B10" s="2">
        <v>4.3499999999999996</v>
      </c>
      <c r="C10" s="2">
        <v>340</v>
      </c>
      <c r="D10" s="2">
        <v>0</v>
      </c>
      <c r="E10" s="2">
        <v>1.7</v>
      </c>
      <c r="G10" s="2">
        <v>9</v>
      </c>
      <c r="H10" s="2">
        <v>4.3499999999999996</v>
      </c>
      <c r="I10" s="2">
        <v>60</v>
      </c>
      <c r="J10" s="2">
        <v>500</v>
      </c>
      <c r="K10" s="11">
        <v>2.1</v>
      </c>
    </row>
    <row r="11" spans="1:20">
      <c r="A11" s="2">
        <v>10</v>
      </c>
      <c r="B11" s="2">
        <v>4.3499999999999996</v>
      </c>
      <c r="C11" s="2">
        <v>340</v>
      </c>
      <c r="D11" s="2">
        <v>0</v>
      </c>
      <c r="E11" s="2">
        <v>1.68</v>
      </c>
      <c r="G11" s="2">
        <v>10</v>
      </c>
      <c r="H11" s="2">
        <v>4.3499999999999996</v>
      </c>
      <c r="I11" s="2">
        <v>135</v>
      </c>
      <c r="J11" s="2">
        <v>600</v>
      </c>
      <c r="K11" s="2">
        <v>4</v>
      </c>
    </row>
    <row r="12" spans="1:20">
      <c r="A12" s="4">
        <v>11</v>
      </c>
      <c r="B12" s="4">
        <v>4.3499999999999996</v>
      </c>
      <c r="C12" s="4">
        <v>360</v>
      </c>
      <c r="D12" s="4">
        <v>0</v>
      </c>
      <c r="E12" s="4">
        <v>1.86</v>
      </c>
      <c r="G12" s="4">
        <v>11</v>
      </c>
      <c r="H12" s="4">
        <v>4.3499999999999996</v>
      </c>
      <c r="I12" s="4">
        <v>130</v>
      </c>
      <c r="J12" s="4">
        <v>1000</v>
      </c>
      <c r="K12" s="4">
        <v>4.51</v>
      </c>
    </row>
    <row r="13" spans="1:20">
      <c r="I13" s="26"/>
    </row>
    <row r="14" spans="1:20" ht="16" customHeight="1">
      <c r="A14" s="27" t="s">
        <v>0</v>
      </c>
      <c r="B14" s="27" t="s">
        <v>5</v>
      </c>
      <c r="C14" s="27" t="s">
        <v>6</v>
      </c>
      <c r="D14" s="27" t="s">
        <v>7</v>
      </c>
      <c r="E14" s="27" t="s">
        <v>8</v>
      </c>
      <c r="F14" s="27" t="s">
        <v>9</v>
      </c>
      <c r="G14" s="27" t="s">
        <v>10</v>
      </c>
      <c r="H14" s="31" t="s">
        <v>11</v>
      </c>
      <c r="I14" s="27" t="s">
        <v>12</v>
      </c>
      <c r="J14" s="29" t="s">
        <v>13</v>
      </c>
      <c r="K14" s="27" t="s">
        <v>14</v>
      </c>
      <c r="L14" s="27"/>
      <c r="M14" s="27"/>
    </row>
    <row r="15" spans="1:20">
      <c r="A15" s="28"/>
      <c r="B15" s="28"/>
      <c r="C15" s="28"/>
      <c r="D15" s="28"/>
      <c r="E15" s="28"/>
      <c r="F15" s="28"/>
      <c r="G15" s="28"/>
      <c r="H15" s="32"/>
      <c r="I15" s="28"/>
      <c r="J15" s="30"/>
      <c r="K15" s="5" t="s">
        <v>15</v>
      </c>
      <c r="L15" s="5" t="s">
        <v>16</v>
      </c>
      <c r="M15" s="5" t="s">
        <v>17</v>
      </c>
      <c r="O15" t="s">
        <v>18</v>
      </c>
      <c r="P15" s="12" t="s">
        <v>19</v>
      </c>
      <c r="Q15" s="12" t="s">
        <v>20</v>
      </c>
      <c r="R15" s="12" t="s">
        <v>21</v>
      </c>
    </row>
    <row r="16" spans="1:20">
      <c r="A16" s="2">
        <v>1</v>
      </c>
      <c r="B16" s="6">
        <f>(4*J2)/(3.1415926*0.00435^2*1000000*60)</f>
        <v>0.11214511529081679</v>
      </c>
      <c r="C16" s="6">
        <f>(4*I2)/(3.1415926*0.00435^2*1000000*60)</f>
        <v>2.2429023058163359E-2</v>
      </c>
      <c r="D16" s="3">
        <f>(0.00435*B16*6.9)/(0.0000175)</f>
        <v>192.34489345450666</v>
      </c>
      <c r="E16" s="3">
        <f>(0.00435*C16*1000)/(0.001005)</f>
        <v>97.080846072647361</v>
      </c>
      <c r="F16" s="7">
        <f>(64*1.2*6.9*B16^2)/(D16*0.00435*2*1000)</f>
        <v>3.9826406381518759E-3</v>
      </c>
      <c r="G16" s="7">
        <f>(64*1.2*1000*C16^2)/(E16*0.00435*2*1000)</f>
        <v>4.5743472472487286E-2</v>
      </c>
      <c r="H16" s="7">
        <f>SQRT(1+(5/I16)+(1/(I16^2)))</f>
        <v>1.6007500994273862</v>
      </c>
      <c r="I16" s="7">
        <f>SQRT((D16*1000*C16^2)/(E16*6.9*B16^2))</f>
        <v>3.3890580233619914</v>
      </c>
      <c r="J16" s="7">
        <f>(64*P16)/(Q16*R16*0.00435)</f>
        <v>0.11545694447501209</v>
      </c>
      <c r="K16" s="7">
        <f>(J16*Q16*1.2*R16^2)/(0.00435*2*1000)</f>
        <v>4.9726113110639139E-2</v>
      </c>
      <c r="L16" s="2">
        <v>2.79</v>
      </c>
      <c r="M16" s="7">
        <f>(L16-K16)/L16</f>
        <v>0.98217702039045185</v>
      </c>
      <c r="O16">
        <f>I2/(I2+J2)</f>
        <v>0.16666666666666666</v>
      </c>
      <c r="P16">
        <f>O16*0.001005+(1-O16)*0.0000175</f>
        <v>1.8208333333333333E-4</v>
      </c>
      <c r="Q16">
        <f>O16*1000+(1-O16)*6.9</f>
        <v>172.41666666666666</v>
      </c>
      <c r="R16">
        <f>4*(I2+J2)/(3.1415926*0.00435^2*1000000*60)</f>
        <v>0.13457413834898013</v>
      </c>
      <c r="S16">
        <f>R16^2</f>
        <v>1.8110198712370445E-2</v>
      </c>
      <c r="T16" s="2">
        <v>2.79</v>
      </c>
    </row>
    <row r="17" spans="1:20">
      <c r="A17" s="2">
        <v>2</v>
      </c>
      <c r="B17" s="6">
        <f t="shared" ref="B17:B26" si="0">(4*J3)/(3.1415926*0.00435^2*1000000*60)</f>
        <v>1.1214511529081679E-2</v>
      </c>
      <c r="C17" s="6">
        <f t="shared" ref="C17:C26" si="1">(4*I3)/(3.1415926*0.00435^2*1000000*60)</f>
        <v>2.2429023058163359E-2</v>
      </c>
      <c r="D17" s="3">
        <f t="shared" ref="D17:D26" si="2">(0.00435*B17*6.9)/(0.0000175)</f>
        <v>19.234489345450662</v>
      </c>
      <c r="E17" s="3">
        <f t="shared" ref="E17:E26" si="3">(0.00435*C17*1000)/(0.001005)</f>
        <v>97.080846072647361</v>
      </c>
      <c r="F17" s="7">
        <f t="shared" ref="F17:F26" si="4">(64*1.2*6.9*B17^2)/(D17*0.00435*2*1000)</f>
        <v>3.9826406381518763E-4</v>
      </c>
      <c r="G17" s="7">
        <f t="shared" ref="G17:G26" si="5">(64*1.2*1000*C17^2)/(E17*0.00435*2*1000)</f>
        <v>4.5743472472487286E-2</v>
      </c>
      <c r="H17" s="7">
        <f t="shared" ref="H17:H26" si="6">SQRT(1+(5/I17)+(1/(I17^2)))</f>
        <v>1.2145981803212034</v>
      </c>
      <c r="I17" s="7">
        <f t="shared" ref="I17:I26" si="7">SQRT((D17*1000*C17^2)/(E17*6.9*B17^2))</f>
        <v>10.717142476292029</v>
      </c>
      <c r="J17" s="7">
        <f t="shared" ref="J17:J26" si="8">(64*P17)/(Q17*R17*0.00435)</f>
        <v>0.44179849335432769</v>
      </c>
      <c r="K17" s="7">
        <f t="shared" ref="K17:K26" si="9">(J17*Q17*1.2*R17^2)/(0.00435*2*1000)</f>
        <v>4.6141736536302456E-2</v>
      </c>
      <c r="L17" s="2">
        <v>3.35</v>
      </c>
      <c r="M17" s="7">
        <f t="shared" ref="M17:M26" si="10">(L17-K17)/L17</f>
        <v>0.98622634730259628</v>
      </c>
      <c r="O17">
        <f t="shared" ref="O17:O26" si="11">I3/(I3+J3)</f>
        <v>0.66666666666666663</v>
      </c>
      <c r="P17">
        <f t="shared" ref="P17:P26" si="12">O17*0.001005+(1-O17)*0.0000175</f>
        <v>6.7583333333333341E-4</v>
      </c>
      <c r="Q17">
        <f t="shared" ref="Q17:Q26" si="13">O17*1000+(1-O17)*6.9</f>
        <v>668.96666666666658</v>
      </c>
      <c r="R17">
        <f t="shared" ref="R17:R26" si="14">4*(I3+J3)/(3.1415926*0.00435^2*1000000*60)</f>
        <v>3.3643534587245033E-2</v>
      </c>
      <c r="S17">
        <f t="shared" ref="S17:S26" si="15">R17^2</f>
        <v>1.1318874195231528E-3</v>
      </c>
      <c r="T17" s="2">
        <v>3.35</v>
      </c>
    </row>
    <row r="18" spans="1:20">
      <c r="A18" s="2">
        <v>3</v>
      </c>
      <c r="B18" s="6">
        <f t="shared" si="0"/>
        <v>2.8036278822704198E-2</v>
      </c>
      <c r="C18" s="6">
        <f t="shared" si="1"/>
        <v>2.2429023058163359E-2</v>
      </c>
      <c r="D18" s="3">
        <f t="shared" si="2"/>
        <v>48.086223363626665</v>
      </c>
      <c r="E18" s="3">
        <f t="shared" si="3"/>
        <v>97.080846072647361</v>
      </c>
      <c r="F18" s="7">
        <f t="shared" si="4"/>
        <v>9.9566015953796898E-4</v>
      </c>
      <c r="G18" s="7">
        <f t="shared" si="5"/>
        <v>4.5743472472487286E-2</v>
      </c>
      <c r="H18" s="7">
        <f t="shared" si="6"/>
        <v>1.3264366819619264</v>
      </c>
      <c r="I18" s="7">
        <f t="shared" si="7"/>
        <v>6.7781160467239827</v>
      </c>
      <c r="J18" s="7">
        <f t="shared" si="8"/>
        <v>0.29681489674001732</v>
      </c>
      <c r="K18" s="7">
        <f t="shared" si="9"/>
        <v>4.6739132632025233E-2</v>
      </c>
      <c r="L18" s="11">
        <v>3.67</v>
      </c>
      <c r="M18" s="7">
        <f t="shared" si="10"/>
        <v>0.98726454151715926</v>
      </c>
      <c r="O18">
        <f t="shared" si="11"/>
        <v>0.44444444444444442</v>
      </c>
      <c r="P18">
        <f t="shared" si="12"/>
        <v>4.5638888888888888E-4</v>
      </c>
      <c r="Q18">
        <f t="shared" si="13"/>
        <v>448.27777777777771</v>
      </c>
      <c r="R18">
        <f t="shared" si="14"/>
        <v>5.0465301880867557E-2</v>
      </c>
      <c r="S18">
        <f t="shared" si="15"/>
        <v>2.5467466939270945E-3</v>
      </c>
      <c r="T18" s="11">
        <v>3.67</v>
      </c>
    </row>
    <row r="19" spans="1:20">
      <c r="A19" s="2">
        <v>4</v>
      </c>
      <c r="B19" s="6">
        <f t="shared" si="0"/>
        <v>4.8222399575051221E-2</v>
      </c>
      <c r="C19" s="6">
        <f t="shared" si="1"/>
        <v>2.2429023058163359E-2</v>
      </c>
      <c r="D19" s="3">
        <f t="shared" si="2"/>
        <v>82.708304185437854</v>
      </c>
      <c r="E19" s="3">
        <f t="shared" si="3"/>
        <v>97.080846072647361</v>
      </c>
      <c r="F19" s="7">
        <f t="shared" si="4"/>
        <v>1.712535474405307E-3</v>
      </c>
      <c r="G19" s="7">
        <f t="shared" si="5"/>
        <v>4.5743472472487286E-2</v>
      </c>
      <c r="H19" s="7">
        <f t="shared" si="6"/>
        <v>1.4159380131619625</v>
      </c>
      <c r="I19" s="7">
        <f t="shared" si="7"/>
        <v>5.168265033369468</v>
      </c>
      <c r="J19" s="7">
        <f t="shared" si="8"/>
        <v>0.21394517825808412</v>
      </c>
      <c r="K19" s="7">
        <f t="shared" si="9"/>
        <v>4.7456007946892587E-2</v>
      </c>
      <c r="L19" s="2">
        <v>4.13</v>
      </c>
      <c r="M19" s="7">
        <f t="shared" si="10"/>
        <v>0.98850944117508655</v>
      </c>
      <c r="O19">
        <f t="shared" si="11"/>
        <v>0.31746031746031744</v>
      </c>
      <c r="P19">
        <f t="shared" si="12"/>
        <v>3.309920634920635E-4</v>
      </c>
      <c r="Q19">
        <f t="shared" si="13"/>
        <v>322.1698412698413</v>
      </c>
      <c r="R19">
        <f t="shared" si="14"/>
        <v>7.0651422633214583E-2</v>
      </c>
      <c r="S19">
        <f t="shared" si="15"/>
        <v>4.9916235200971057E-3</v>
      </c>
      <c r="T19" s="2">
        <v>4.13</v>
      </c>
    </row>
    <row r="20" spans="1:20">
      <c r="A20" s="2">
        <v>5</v>
      </c>
      <c r="B20" s="6">
        <f t="shared" si="0"/>
        <v>7.0651422633214583E-2</v>
      </c>
      <c r="C20" s="6">
        <f t="shared" si="1"/>
        <v>2.2429023058163359E-2</v>
      </c>
      <c r="D20" s="3">
        <f t="shared" si="2"/>
        <v>121.17728287633919</v>
      </c>
      <c r="E20" s="3">
        <f t="shared" si="3"/>
        <v>97.080846072647361</v>
      </c>
      <c r="F20" s="7">
        <f t="shared" si="4"/>
        <v>2.5090636020356815E-3</v>
      </c>
      <c r="G20" s="7">
        <f t="shared" si="5"/>
        <v>4.5743472472487286E-2</v>
      </c>
      <c r="H20" s="7">
        <f t="shared" si="6"/>
        <v>1.4919324901702211</v>
      </c>
      <c r="I20" s="7">
        <f t="shared" si="7"/>
        <v>4.2698117659923609</v>
      </c>
      <c r="J20" s="7">
        <f t="shared" si="8"/>
        <v>0.16400272664944537</v>
      </c>
      <c r="K20" s="7">
        <f t="shared" si="9"/>
        <v>4.8252536074522956E-2</v>
      </c>
      <c r="L20" s="2">
        <v>2.72</v>
      </c>
      <c r="M20" s="7">
        <f t="shared" si="10"/>
        <v>0.98226009703142547</v>
      </c>
      <c r="O20">
        <f t="shared" si="11"/>
        <v>0.24096385542168675</v>
      </c>
      <c r="P20">
        <f t="shared" si="12"/>
        <v>2.5545180722891567E-4</v>
      </c>
      <c r="Q20">
        <f t="shared" si="13"/>
        <v>246.20120481927711</v>
      </c>
      <c r="R20">
        <f t="shared" si="14"/>
        <v>9.3080445691377939E-2</v>
      </c>
      <c r="S20">
        <f t="shared" si="15"/>
        <v>8.6639693701055578E-3</v>
      </c>
      <c r="T20" s="2">
        <v>2.72</v>
      </c>
    </row>
    <row r="21" spans="1:20">
      <c r="A21" s="2">
        <v>6</v>
      </c>
      <c r="B21" s="6">
        <f t="shared" si="0"/>
        <v>0.11214511529081679</v>
      </c>
      <c r="C21" s="6">
        <f t="shared" si="1"/>
        <v>5.6072557645408402E-2</v>
      </c>
      <c r="D21" s="3">
        <f t="shared" si="2"/>
        <v>192.34489345450666</v>
      </c>
      <c r="E21" s="3">
        <f t="shared" si="3"/>
        <v>242.70211518161801</v>
      </c>
      <c r="F21" s="7">
        <f t="shared" si="4"/>
        <v>3.9826406381518759E-3</v>
      </c>
      <c r="G21" s="7">
        <f t="shared" si="5"/>
        <v>0.114358681181218</v>
      </c>
      <c r="H21" s="7">
        <f t="shared" si="6"/>
        <v>1.4028223032881031</v>
      </c>
      <c r="I21" s="7">
        <f t="shared" si="7"/>
        <v>5.3585712381460207</v>
      </c>
      <c r="J21" s="7">
        <f t="shared" si="8"/>
        <v>8.9722248474413083E-2</v>
      </c>
      <c r="K21" s="7">
        <f t="shared" si="9"/>
        <v>0.11834132181937006</v>
      </c>
      <c r="L21" s="11">
        <v>2.83</v>
      </c>
      <c r="M21" s="7">
        <f t="shared" si="10"/>
        <v>0.9581832785090566</v>
      </c>
      <c r="O21">
        <f t="shared" si="11"/>
        <v>0.33333333333333331</v>
      </c>
      <c r="P21">
        <f t="shared" si="12"/>
        <v>3.4666666666666667E-4</v>
      </c>
      <c r="Q21">
        <f t="shared" si="13"/>
        <v>337.93333333333334</v>
      </c>
      <c r="R21">
        <f t="shared" si="14"/>
        <v>0.16821767293622519</v>
      </c>
      <c r="S21">
        <f t="shared" si="15"/>
        <v>2.829718548807883E-2</v>
      </c>
      <c r="T21" s="11">
        <v>2.83</v>
      </c>
    </row>
    <row r="22" spans="1:20">
      <c r="A22" s="2">
        <v>7</v>
      </c>
      <c r="B22" s="6">
        <f t="shared" si="0"/>
        <v>0.22429023058163358</v>
      </c>
      <c r="C22" s="6">
        <f t="shared" si="1"/>
        <v>6.7287069174490066E-2</v>
      </c>
      <c r="D22" s="3">
        <f t="shared" si="2"/>
        <v>384.68978690901332</v>
      </c>
      <c r="E22" s="3">
        <f t="shared" si="3"/>
        <v>291.24253821794201</v>
      </c>
      <c r="F22" s="7">
        <f t="shared" si="4"/>
        <v>7.9652812763037519E-3</v>
      </c>
      <c r="G22" s="7">
        <f t="shared" si="5"/>
        <v>0.13723041741746184</v>
      </c>
      <c r="H22" s="7">
        <f t="shared" si="6"/>
        <v>1.5042107844955421</v>
      </c>
      <c r="I22" s="7">
        <f t="shared" si="7"/>
        <v>4.1507314329611154</v>
      </c>
      <c r="J22" s="7">
        <f t="shared" si="8"/>
        <v>5.2448225838213389E-2</v>
      </c>
      <c r="K22" s="7">
        <f t="shared" si="9"/>
        <v>0.14519569869376558</v>
      </c>
      <c r="L22" s="2">
        <v>2.96</v>
      </c>
      <c r="M22" s="7">
        <f t="shared" si="10"/>
        <v>0.95094739908994397</v>
      </c>
      <c r="O22">
        <f t="shared" si="11"/>
        <v>0.23076923076923078</v>
      </c>
      <c r="P22">
        <f t="shared" si="12"/>
        <v>2.4538461538461541E-4</v>
      </c>
      <c r="Q22">
        <f t="shared" si="13"/>
        <v>236.07692307692309</v>
      </c>
      <c r="R22">
        <f t="shared" si="14"/>
        <v>0.29157729975612368</v>
      </c>
      <c r="S22">
        <f t="shared" si="15"/>
        <v>8.5017321733072401E-2</v>
      </c>
      <c r="T22" s="2">
        <v>2.96</v>
      </c>
    </row>
    <row r="23" spans="1:20">
      <c r="A23" s="2">
        <v>8</v>
      </c>
      <c r="B23" s="6">
        <f t="shared" si="0"/>
        <v>0.34764985740153204</v>
      </c>
      <c r="C23" s="6">
        <f t="shared" si="1"/>
        <v>6.7287069174490066E-2</v>
      </c>
      <c r="D23" s="3">
        <f t="shared" si="2"/>
        <v>596.26916970897048</v>
      </c>
      <c r="E23" s="3">
        <f t="shared" si="3"/>
        <v>291.24253821794201</v>
      </c>
      <c r="F23" s="7">
        <f t="shared" si="4"/>
        <v>1.2346185978270816E-2</v>
      </c>
      <c r="G23" s="7">
        <f t="shared" si="5"/>
        <v>0.13723041741746184</v>
      </c>
      <c r="H23" s="7">
        <f t="shared" si="6"/>
        <v>1.6092515065196582</v>
      </c>
      <c r="I23" s="7">
        <f t="shared" si="7"/>
        <v>3.3339477160375339</v>
      </c>
      <c r="J23" s="7">
        <f t="shared" si="8"/>
        <v>3.7503773410342903E-2</v>
      </c>
      <c r="K23" s="7">
        <f t="shared" si="9"/>
        <v>0.14957660339573264</v>
      </c>
      <c r="L23" s="11">
        <v>3.5</v>
      </c>
      <c r="M23" s="7">
        <f t="shared" si="10"/>
        <v>0.9572638276012192</v>
      </c>
      <c r="O23">
        <f t="shared" si="11"/>
        <v>0.16216216216216217</v>
      </c>
      <c r="P23">
        <f t="shared" si="12"/>
        <v>1.7763513513513517E-4</v>
      </c>
      <c r="Q23">
        <f t="shared" si="13"/>
        <v>167.94324324324324</v>
      </c>
      <c r="R23">
        <f t="shared" si="14"/>
        <v>0.4149369265760221</v>
      </c>
      <c r="S23">
        <f t="shared" si="15"/>
        <v>0.17217265303635515</v>
      </c>
      <c r="T23" s="11">
        <v>3.5</v>
      </c>
    </row>
    <row r="24" spans="1:20">
      <c r="A24" s="2">
        <v>9</v>
      </c>
      <c r="B24" s="6">
        <f t="shared" si="0"/>
        <v>0.56072557645408394</v>
      </c>
      <c r="C24" s="6">
        <f t="shared" si="1"/>
        <v>6.7287069174490066E-2</v>
      </c>
      <c r="D24" s="3">
        <f t="shared" si="2"/>
        <v>961.72446727253316</v>
      </c>
      <c r="E24" s="3">
        <f t="shared" si="3"/>
        <v>291.24253821794201</v>
      </c>
      <c r="F24" s="7">
        <f t="shared" si="4"/>
        <v>1.9913203190759378E-2</v>
      </c>
      <c r="G24" s="7">
        <f t="shared" si="5"/>
        <v>0.13723041741746184</v>
      </c>
      <c r="H24" s="7">
        <f t="shared" si="6"/>
        <v>1.7463558182691508</v>
      </c>
      <c r="I24" s="7">
        <f t="shared" si="7"/>
        <v>2.6251530567623238</v>
      </c>
      <c r="J24" s="7">
        <f t="shared" si="8"/>
        <v>2.5494962925511643E-2</v>
      </c>
      <c r="K24" s="7">
        <f t="shared" si="9"/>
        <v>0.15714362060822121</v>
      </c>
      <c r="L24" s="11">
        <v>4.53</v>
      </c>
      <c r="M24" s="7">
        <f t="shared" si="10"/>
        <v>0.96531045902688273</v>
      </c>
      <c r="O24">
        <f t="shared" si="11"/>
        <v>0.10714285714285714</v>
      </c>
      <c r="P24">
        <f t="shared" si="12"/>
        <v>1.2330357142857141E-4</v>
      </c>
      <c r="Q24">
        <f t="shared" si="13"/>
        <v>113.30357142857143</v>
      </c>
      <c r="R24">
        <f t="shared" si="14"/>
        <v>0.62801264562857406</v>
      </c>
      <c r="S24">
        <f t="shared" si="15"/>
        <v>0.39439988306940094</v>
      </c>
      <c r="T24" s="11">
        <v>4.53</v>
      </c>
    </row>
    <row r="25" spans="1:20">
      <c r="A25" s="2">
        <v>10</v>
      </c>
      <c r="B25" s="6">
        <f t="shared" si="0"/>
        <v>0.67287069174490077</v>
      </c>
      <c r="C25" s="6">
        <f t="shared" si="1"/>
        <v>0.15139590564260266</v>
      </c>
      <c r="D25" s="3">
        <f t="shared" si="2"/>
        <v>1154.06936072704</v>
      </c>
      <c r="E25" s="3">
        <f t="shared" si="3"/>
        <v>655.29571099036968</v>
      </c>
      <c r="F25" s="7">
        <f t="shared" si="4"/>
        <v>2.3895843828911256E-2</v>
      </c>
      <c r="G25" s="7">
        <f t="shared" si="5"/>
        <v>0.30876843918928903</v>
      </c>
      <c r="H25" s="7">
        <f t="shared" si="6"/>
        <v>1.5710987035678188</v>
      </c>
      <c r="I25" s="7">
        <f t="shared" si="7"/>
        <v>3.5946388652309116</v>
      </c>
      <c r="J25" s="7">
        <f t="shared" si="8"/>
        <v>1.8751849971708423E-2</v>
      </c>
      <c r="K25" s="7">
        <f t="shared" si="9"/>
        <v>0.33266428301820028</v>
      </c>
      <c r="L25" s="2">
        <v>5.25</v>
      </c>
      <c r="M25" s="7">
        <f t="shared" si="10"/>
        <v>0.9366353746631999</v>
      </c>
      <c r="O25">
        <f t="shared" si="11"/>
        <v>0.18367346938775511</v>
      </c>
      <c r="P25">
        <f t="shared" si="12"/>
        <v>1.9887755102040818E-4</v>
      </c>
      <c r="Q25">
        <f t="shared" si="13"/>
        <v>189.30612244897961</v>
      </c>
      <c r="R25">
        <f t="shared" si="14"/>
        <v>0.82426659738750341</v>
      </c>
      <c r="S25">
        <f t="shared" si="15"/>
        <v>0.6794154235687726</v>
      </c>
      <c r="T25" s="2">
        <v>5.25</v>
      </c>
    </row>
    <row r="26" spans="1:20">
      <c r="A26" s="4">
        <v>11</v>
      </c>
      <c r="B26" s="8">
        <f t="shared" si="0"/>
        <v>1.1214511529081679</v>
      </c>
      <c r="C26" s="8">
        <f t="shared" si="1"/>
        <v>0.14578864987806184</v>
      </c>
      <c r="D26" s="9">
        <f t="shared" si="2"/>
        <v>1923.4489345450663</v>
      </c>
      <c r="E26" s="9">
        <f t="shared" si="3"/>
        <v>631.02549947220791</v>
      </c>
      <c r="F26" s="10">
        <f t="shared" si="4"/>
        <v>3.9826406381518756E-2</v>
      </c>
      <c r="G26" s="10">
        <f t="shared" si="5"/>
        <v>0.29733257107116734</v>
      </c>
      <c r="H26" s="10">
        <f t="shared" si="6"/>
        <v>1.7215908345223987</v>
      </c>
      <c r="I26" s="10">
        <f t="shared" si="7"/>
        <v>2.7323459308283584</v>
      </c>
      <c r="J26" s="10">
        <f t="shared" si="8"/>
        <v>1.2564063406849778E-2</v>
      </c>
      <c r="K26" s="10">
        <f t="shared" si="9"/>
        <v>0.33715897745268608</v>
      </c>
      <c r="L26" s="4">
        <v>6.37</v>
      </c>
      <c r="M26" s="10">
        <f t="shared" si="10"/>
        <v>0.94707080416755318</v>
      </c>
      <c r="O26">
        <f t="shared" si="11"/>
        <v>0.11504424778761062</v>
      </c>
      <c r="P26">
        <f t="shared" si="12"/>
        <v>1.3110619469026548E-4</v>
      </c>
      <c r="Q26">
        <f t="shared" si="13"/>
        <v>121.1504424778761</v>
      </c>
      <c r="R26">
        <f t="shared" si="14"/>
        <v>1.2672398027862297</v>
      </c>
      <c r="S26">
        <f t="shared" si="15"/>
        <v>1.6058967177656824</v>
      </c>
      <c r="T26" s="4">
        <v>6.37</v>
      </c>
    </row>
    <row r="28" spans="1:20">
      <c r="A28" s="27" t="s">
        <v>0</v>
      </c>
      <c r="B28" s="27" t="s">
        <v>5</v>
      </c>
      <c r="C28" s="27" t="s">
        <v>6</v>
      </c>
      <c r="D28" s="27" t="s">
        <v>7</v>
      </c>
      <c r="E28" s="27" t="s">
        <v>8</v>
      </c>
      <c r="F28" s="27" t="s">
        <v>9</v>
      </c>
      <c r="G28" s="27" t="s">
        <v>10</v>
      </c>
      <c r="H28" s="31" t="s">
        <v>11</v>
      </c>
      <c r="I28" s="27" t="s">
        <v>12</v>
      </c>
      <c r="J28" s="29" t="s">
        <v>13</v>
      </c>
      <c r="K28" s="27" t="s">
        <v>14</v>
      </c>
      <c r="L28" s="27"/>
      <c r="M28" s="27"/>
    </row>
    <row r="29" spans="1:20">
      <c r="A29" s="28"/>
      <c r="B29" s="28"/>
      <c r="C29" s="28"/>
      <c r="D29" s="28"/>
      <c r="E29" s="28"/>
      <c r="F29" s="28"/>
      <c r="G29" s="28"/>
      <c r="H29" s="32"/>
      <c r="I29" s="28"/>
      <c r="J29" s="30"/>
      <c r="K29" s="5" t="s">
        <v>15</v>
      </c>
      <c r="L29" s="5" t="s">
        <v>16</v>
      </c>
      <c r="M29" s="5" t="s">
        <v>17</v>
      </c>
      <c r="O29" t="s">
        <v>18</v>
      </c>
      <c r="P29" s="12" t="s">
        <v>19</v>
      </c>
      <c r="Q29" s="12" t="s">
        <v>20</v>
      </c>
      <c r="R29" s="12" t="s">
        <v>21</v>
      </c>
    </row>
    <row r="30" spans="1:20">
      <c r="A30" s="2">
        <v>1</v>
      </c>
      <c r="B30" s="3">
        <f>(4*D2)/(3.1415926*0.00435^2*1000000*60)</f>
        <v>0</v>
      </c>
      <c r="C30" s="6">
        <f>(4*C2)/(3.1415926*0.00435^2*1000000*60)</f>
        <v>2.2429023058163359E-2</v>
      </c>
      <c r="D30" s="3">
        <f>(0.00435*B30*6.9)/(0.0000175)</f>
        <v>0</v>
      </c>
      <c r="E30" s="3">
        <f>(0.00435*C30*1000)/(0.001005)</f>
        <v>97.080846072647361</v>
      </c>
      <c r="F30" s="3">
        <v>0</v>
      </c>
      <c r="G30" s="7">
        <f>(64*1.2*1000*C30^2)/(E30*0.00435*2*1000)</f>
        <v>4.5743472472487286E-2</v>
      </c>
      <c r="H30" s="3">
        <v>1</v>
      </c>
      <c r="I30" s="7" t="s">
        <v>22</v>
      </c>
      <c r="J30" s="7">
        <f>(64*P30)/(Q30*R30*0.00435)</f>
        <v>0.65924435755439992</v>
      </c>
      <c r="K30" s="7">
        <f>(J30*Q30*1.2*R30^2)/(0.00435*2*1000)</f>
        <v>4.5743472472487279E-2</v>
      </c>
      <c r="L30" s="2">
        <v>0.27</v>
      </c>
      <c r="M30" s="7">
        <f>(L30-K30)/L30</f>
        <v>0.8305797315833805</v>
      </c>
      <c r="O30">
        <f>C2/(C2+D2)</f>
        <v>1</v>
      </c>
      <c r="P30">
        <f>O30*0.001005+(1-O30)*0.0000175</f>
        <v>1.005E-3</v>
      </c>
      <c r="Q30">
        <f>O30*1000+(1-O30)*6.9</f>
        <v>1000</v>
      </c>
      <c r="R30">
        <f>4*(C2+D2)/(3.1415926*0.00435^2*1000000*60)</f>
        <v>2.2429023058163359E-2</v>
      </c>
      <c r="T30" s="2"/>
    </row>
    <row r="31" spans="1:20">
      <c r="A31" s="2">
        <v>2</v>
      </c>
      <c r="B31" s="3">
        <f t="shared" ref="B31:B40" si="16">(4*D3)/(3.1415926*0.00435^2*1000000*60)</f>
        <v>0</v>
      </c>
      <c r="C31" s="6">
        <f t="shared" ref="C31:C40" si="17">(4*C3)/(3.1415926*0.00435^2*1000000*60)</f>
        <v>4.4858046116326718E-2</v>
      </c>
      <c r="D31" s="3">
        <f t="shared" ref="D31:D40" si="18">(0.00435*B31*6.9)/(0.0000175)</f>
        <v>0</v>
      </c>
      <c r="E31" s="3">
        <f t="shared" ref="E31:E40" si="19">(0.00435*C31*1000)/(0.001005)</f>
        <v>194.16169214529472</v>
      </c>
      <c r="F31" s="3">
        <v>0</v>
      </c>
      <c r="G31" s="7">
        <f t="shared" ref="G31:G40" si="20">(64*1.2*1000*C31^2)/(E31*0.00435*2*1000)</f>
        <v>9.1486944944974571E-2</v>
      </c>
      <c r="H31" s="3">
        <v>1</v>
      </c>
      <c r="I31" s="7" t="s">
        <v>22</v>
      </c>
      <c r="J31" s="7">
        <f t="shared" ref="J31:J40" si="21">(64*P31)/(Q31*R31*0.00435)</f>
        <v>0.32962217877719996</v>
      </c>
      <c r="K31" s="7">
        <f t="shared" ref="K31:K40" si="22">(J31*Q31*1.2*R31^2)/(0.00435*2*1000)</f>
        <v>9.1486944944974558E-2</v>
      </c>
      <c r="L31" s="2">
        <v>0.37</v>
      </c>
      <c r="M31" s="7">
        <f t="shared" ref="M31:M40" si="23">(L31-K31)/L31</f>
        <v>0.75273798663520386</v>
      </c>
      <c r="O31">
        <f t="shared" ref="O31:O40" si="24">C3/(C3+D3)</f>
        <v>1</v>
      </c>
      <c r="P31">
        <f t="shared" ref="P31:P40" si="25">O31*0.001005+(1-O31)*0.0000175</f>
        <v>1.005E-3</v>
      </c>
      <c r="Q31">
        <f t="shared" ref="Q31:Q40" si="26">O31*1000+(1-O31)*6.9</f>
        <v>1000</v>
      </c>
      <c r="R31">
        <f t="shared" ref="R31:R40" si="27">4*(C3+D3)/(3.1415926*0.00435^2*1000000*60)</f>
        <v>4.4858046116326718E-2</v>
      </c>
      <c r="T31" s="2"/>
    </row>
    <row r="32" spans="1:20">
      <c r="A32" s="2">
        <v>3</v>
      </c>
      <c r="B32" s="3">
        <f t="shared" si="16"/>
        <v>0</v>
      </c>
      <c r="C32" s="6">
        <f t="shared" si="17"/>
        <v>8.9716092232653435E-2</v>
      </c>
      <c r="D32" s="3">
        <f t="shared" si="18"/>
        <v>0</v>
      </c>
      <c r="E32" s="3">
        <f t="shared" si="19"/>
        <v>388.32338429058944</v>
      </c>
      <c r="F32" s="3">
        <v>0</v>
      </c>
      <c r="G32" s="7">
        <f t="shared" si="20"/>
        <v>0.18297388988994914</v>
      </c>
      <c r="H32" s="3">
        <v>1</v>
      </c>
      <c r="I32" s="7" t="s">
        <v>22</v>
      </c>
      <c r="J32" s="7">
        <f t="shared" si="21"/>
        <v>0.16481108938859998</v>
      </c>
      <c r="K32" s="7">
        <f t="shared" si="22"/>
        <v>0.18297388988994912</v>
      </c>
      <c r="L32" s="2">
        <v>0.42</v>
      </c>
      <c r="M32" s="7">
        <f t="shared" si="23"/>
        <v>0.56434788121440682</v>
      </c>
      <c r="O32">
        <f t="shared" si="24"/>
        <v>1</v>
      </c>
      <c r="P32">
        <f t="shared" si="25"/>
        <v>1.005E-3</v>
      </c>
      <c r="Q32">
        <f t="shared" si="26"/>
        <v>1000</v>
      </c>
      <c r="R32">
        <f t="shared" si="27"/>
        <v>8.9716092232653435E-2</v>
      </c>
      <c r="T32" s="2"/>
    </row>
    <row r="33" spans="1:20">
      <c r="A33" s="2">
        <v>4</v>
      </c>
      <c r="B33" s="3">
        <f t="shared" si="16"/>
        <v>0</v>
      </c>
      <c r="C33" s="6">
        <f t="shared" si="17"/>
        <v>0.13457413834898013</v>
      </c>
      <c r="D33" s="3">
        <f t="shared" si="18"/>
        <v>0</v>
      </c>
      <c r="E33" s="3">
        <f t="shared" si="19"/>
        <v>582.48507643588403</v>
      </c>
      <c r="F33" s="3">
        <v>0</v>
      </c>
      <c r="G33" s="7">
        <f t="shared" si="20"/>
        <v>0.27446083483492367</v>
      </c>
      <c r="H33" s="3">
        <v>1</v>
      </c>
      <c r="I33" s="7" t="s">
        <v>22</v>
      </c>
      <c r="J33" s="7">
        <f t="shared" si="21"/>
        <v>0.10987405959239999</v>
      </c>
      <c r="K33" s="7">
        <f t="shared" si="22"/>
        <v>0.27446083483492356</v>
      </c>
      <c r="L33" s="2">
        <v>0.56999999999999995</v>
      </c>
      <c r="M33" s="7">
        <f t="shared" si="23"/>
        <v>0.51848976344750253</v>
      </c>
      <c r="O33">
        <f t="shared" si="24"/>
        <v>1</v>
      </c>
      <c r="P33">
        <f t="shared" si="25"/>
        <v>1.005E-3</v>
      </c>
      <c r="Q33">
        <f t="shared" si="26"/>
        <v>1000</v>
      </c>
      <c r="R33">
        <f t="shared" si="27"/>
        <v>0.13457413834898013</v>
      </c>
      <c r="T33" s="2"/>
    </row>
    <row r="34" spans="1:20">
      <c r="A34" s="2">
        <v>5</v>
      </c>
      <c r="B34" s="3">
        <f t="shared" si="16"/>
        <v>0</v>
      </c>
      <c r="C34" s="6">
        <f t="shared" si="17"/>
        <v>0.17943218446530687</v>
      </c>
      <c r="D34" s="3">
        <f t="shared" si="18"/>
        <v>0</v>
      </c>
      <c r="E34" s="3">
        <f t="shared" si="19"/>
        <v>776.64676858117889</v>
      </c>
      <c r="F34" s="3">
        <v>0</v>
      </c>
      <c r="G34" s="7">
        <f t="shared" si="20"/>
        <v>0.36594777977989829</v>
      </c>
      <c r="H34" s="3">
        <v>1</v>
      </c>
      <c r="I34" s="7" t="s">
        <v>22</v>
      </c>
      <c r="J34" s="7">
        <f t="shared" si="21"/>
        <v>8.240554469429999E-2</v>
      </c>
      <c r="K34" s="7">
        <f t="shared" si="22"/>
        <v>0.36594777977989823</v>
      </c>
      <c r="L34" s="2">
        <v>0.64</v>
      </c>
      <c r="M34" s="7">
        <f t="shared" si="23"/>
        <v>0.42820659409390904</v>
      </c>
      <c r="O34">
        <f t="shared" si="24"/>
        <v>1</v>
      </c>
      <c r="P34">
        <f t="shared" si="25"/>
        <v>1.005E-3</v>
      </c>
      <c r="Q34">
        <f t="shared" si="26"/>
        <v>1000</v>
      </c>
      <c r="R34">
        <f t="shared" si="27"/>
        <v>0.17943218446530687</v>
      </c>
      <c r="T34" s="2"/>
    </row>
    <row r="35" spans="1:20">
      <c r="A35" s="2">
        <v>6</v>
      </c>
      <c r="B35" s="3">
        <f t="shared" si="16"/>
        <v>0</v>
      </c>
      <c r="C35" s="6">
        <f t="shared" si="17"/>
        <v>0.22429023058163358</v>
      </c>
      <c r="D35" s="3">
        <f t="shared" si="18"/>
        <v>0</v>
      </c>
      <c r="E35" s="3">
        <f t="shared" si="19"/>
        <v>970.80846072647364</v>
      </c>
      <c r="F35" s="3">
        <v>0</v>
      </c>
      <c r="G35" s="7">
        <f t="shared" si="20"/>
        <v>0.45743472472487273</v>
      </c>
      <c r="H35" s="3">
        <v>1</v>
      </c>
      <c r="I35" s="7" t="s">
        <v>22</v>
      </c>
      <c r="J35" s="7">
        <f t="shared" si="21"/>
        <v>6.5924435755439992E-2</v>
      </c>
      <c r="K35" s="7">
        <f t="shared" si="22"/>
        <v>0.45743472472487268</v>
      </c>
      <c r="L35" s="2">
        <v>0.87</v>
      </c>
      <c r="M35" s="7">
        <f t="shared" si="23"/>
        <v>0.47421296008635322</v>
      </c>
      <c r="O35">
        <f t="shared" si="24"/>
        <v>1</v>
      </c>
      <c r="P35">
        <f t="shared" si="25"/>
        <v>1.005E-3</v>
      </c>
      <c r="Q35">
        <f t="shared" si="26"/>
        <v>1000</v>
      </c>
      <c r="R35">
        <f t="shared" si="27"/>
        <v>0.22429023058163358</v>
      </c>
      <c r="T35" s="2"/>
    </row>
    <row r="36" spans="1:20">
      <c r="A36" s="2">
        <v>7</v>
      </c>
      <c r="B36" s="3">
        <f t="shared" si="16"/>
        <v>0</v>
      </c>
      <c r="C36" s="6">
        <f t="shared" si="17"/>
        <v>0.29157729975612368</v>
      </c>
      <c r="D36" s="3">
        <f t="shared" si="18"/>
        <v>0</v>
      </c>
      <c r="E36" s="3">
        <f t="shared" si="19"/>
        <v>1262.0509989444158</v>
      </c>
      <c r="F36" s="3">
        <v>0</v>
      </c>
      <c r="G36" s="7">
        <f t="shared" si="20"/>
        <v>0.59466514214233468</v>
      </c>
      <c r="H36" s="3">
        <v>1</v>
      </c>
      <c r="I36" s="7" t="s">
        <v>22</v>
      </c>
      <c r="J36" s="7">
        <f t="shared" si="21"/>
        <v>5.0711104427261525E-2</v>
      </c>
      <c r="K36" s="7">
        <f t="shared" si="22"/>
        <v>0.59466514214233457</v>
      </c>
      <c r="L36" s="2">
        <v>1.01</v>
      </c>
      <c r="M36" s="7">
        <f t="shared" si="23"/>
        <v>0.41122263154224303</v>
      </c>
      <c r="O36">
        <f t="shared" si="24"/>
        <v>1</v>
      </c>
      <c r="P36">
        <f t="shared" si="25"/>
        <v>1.005E-3</v>
      </c>
      <c r="Q36">
        <f t="shared" si="26"/>
        <v>1000</v>
      </c>
      <c r="R36">
        <f t="shared" si="27"/>
        <v>0.29157729975612368</v>
      </c>
      <c r="T36" s="2"/>
    </row>
    <row r="37" spans="1:20">
      <c r="A37" s="2">
        <v>8</v>
      </c>
      <c r="B37" s="3">
        <f t="shared" si="16"/>
        <v>0</v>
      </c>
      <c r="C37" s="6">
        <f t="shared" si="17"/>
        <v>0.32522083434336868</v>
      </c>
      <c r="D37" s="3">
        <f t="shared" si="18"/>
        <v>0</v>
      </c>
      <c r="E37" s="3">
        <f t="shared" si="19"/>
        <v>1407.6722680533867</v>
      </c>
      <c r="F37" s="3">
        <v>0</v>
      </c>
      <c r="G37" s="7">
        <f t="shared" si="20"/>
        <v>0.66328035085106551</v>
      </c>
      <c r="H37" s="3">
        <v>1</v>
      </c>
      <c r="I37" s="7" t="s">
        <v>22</v>
      </c>
      <c r="J37" s="7">
        <f t="shared" si="21"/>
        <v>4.5465128107199999E-2</v>
      </c>
      <c r="K37" s="7">
        <f t="shared" si="22"/>
        <v>0.66328035085106551</v>
      </c>
      <c r="L37" s="2">
        <v>1.22</v>
      </c>
      <c r="M37" s="7">
        <f t="shared" si="23"/>
        <v>0.45632758126961842</v>
      </c>
      <c r="O37">
        <f t="shared" si="24"/>
        <v>1</v>
      </c>
      <c r="P37">
        <f t="shared" si="25"/>
        <v>1.005E-3</v>
      </c>
      <c r="Q37">
        <f t="shared" si="26"/>
        <v>1000</v>
      </c>
      <c r="R37">
        <f t="shared" si="27"/>
        <v>0.32522083434336868</v>
      </c>
      <c r="T37" s="2"/>
    </row>
    <row r="38" spans="1:20">
      <c r="A38" s="2">
        <v>9</v>
      </c>
      <c r="B38" s="3">
        <f t="shared" si="16"/>
        <v>0</v>
      </c>
      <c r="C38" s="6">
        <f t="shared" si="17"/>
        <v>0.3812933919887771</v>
      </c>
      <c r="D38" s="3">
        <f t="shared" si="18"/>
        <v>0</v>
      </c>
      <c r="E38" s="3">
        <f t="shared" si="19"/>
        <v>1650.3743832350051</v>
      </c>
      <c r="F38" s="3">
        <v>0</v>
      </c>
      <c r="G38" s="7">
        <f t="shared" si="20"/>
        <v>0.77763903203228391</v>
      </c>
      <c r="H38" s="3">
        <v>1</v>
      </c>
      <c r="I38" s="7" t="s">
        <v>22</v>
      </c>
      <c r="J38" s="7">
        <f t="shared" si="21"/>
        <v>3.8779079856141173E-2</v>
      </c>
      <c r="K38" s="7">
        <f t="shared" si="22"/>
        <v>0.77763903203228368</v>
      </c>
      <c r="L38" s="2">
        <v>1.48</v>
      </c>
      <c r="M38" s="7">
        <f t="shared" si="23"/>
        <v>0.47456822159980833</v>
      </c>
      <c r="O38">
        <f t="shared" si="24"/>
        <v>1</v>
      </c>
      <c r="P38">
        <f t="shared" si="25"/>
        <v>1.005E-3</v>
      </c>
      <c r="Q38">
        <f t="shared" si="26"/>
        <v>1000</v>
      </c>
      <c r="R38">
        <f t="shared" si="27"/>
        <v>0.3812933919887771</v>
      </c>
      <c r="T38" s="2"/>
    </row>
    <row r="39" spans="1:20">
      <c r="A39" s="2">
        <v>10</v>
      </c>
      <c r="B39" s="3">
        <f t="shared" si="16"/>
        <v>0</v>
      </c>
      <c r="C39" s="6">
        <f t="shared" si="17"/>
        <v>0.3812933919887771</v>
      </c>
      <c r="D39" s="3">
        <f t="shared" si="18"/>
        <v>0</v>
      </c>
      <c r="E39" s="3">
        <f t="shared" si="19"/>
        <v>1650.3743832350051</v>
      </c>
      <c r="F39" s="3">
        <v>0</v>
      </c>
      <c r="G39" s="7">
        <f t="shared" si="20"/>
        <v>0.77763903203228391</v>
      </c>
      <c r="H39" s="3">
        <v>1</v>
      </c>
      <c r="I39" s="7" t="s">
        <v>22</v>
      </c>
      <c r="J39" s="7">
        <f t="shared" si="21"/>
        <v>3.8779079856141173E-2</v>
      </c>
      <c r="K39" s="7">
        <f t="shared" si="22"/>
        <v>0.77763903203228368</v>
      </c>
      <c r="L39" s="2">
        <v>1.85</v>
      </c>
      <c r="M39" s="7">
        <f t="shared" si="23"/>
        <v>0.57965457727984671</v>
      </c>
      <c r="O39">
        <f t="shared" si="24"/>
        <v>1</v>
      </c>
      <c r="P39">
        <f t="shared" si="25"/>
        <v>1.005E-3</v>
      </c>
      <c r="Q39">
        <f t="shared" si="26"/>
        <v>1000</v>
      </c>
      <c r="R39">
        <f t="shared" si="27"/>
        <v>0.3812933919887771</v>
      </c>
      <c r="T39" s="2"/>
    </row>
    <row r="40" spans="1:20">
      <c r="A40" s="4">
        <v>11</v>
      </c>
      <c r="B40" s="9">
        <f t="shared" si="16"/>
        <v>0</v>
      </c>
      <c r="C40" s="8">
        <f t="shared" si="17"/>
        <v>0.40372241504694001</v>
      </c>
      <c r="D40" s="9">
        <f t="shared" si="18"/>
        <v>0</v>
      </c>
      <c r="E40" s="9">
        <f t="shared" si="19"/>
        <v>1747.4552293076499</v>
      </c>
      <c r="F40" s="9">
        <v>0</v>
      </c>
      <c r="G40" s="10">
        <f t="shared" si="20"/>
        <v>0.82338250450477102</v>
      </c>
      <c r="H40" s="9">
        <v>1</v>
      </c>
      <c r="I40" s="10" t="s">
        <v>22</v>
      </c>
      <c r="J40" s="10">
        <f t="shared" si="21"/>
        <v>3.6624686530799998E-2</v>
      </c>
      <c r="K40" s="10">
        <f t="shared" si="22"/>
        <v>0.82338250450477102</v>
      </c>
      <c r="L40" s="4">
        <v>1.86</v>
      </c>
      <c r="M40" s="10">
        <f t="shared" si="23"/>
        <v>0.55732123413722001</v>
      </c>
      <c r="O40">
        <f t="shared" si="24"/>
        <v>1</v>
      </c>
      <c r="P40">
        <f t="shared" si="25"/>
        <v>1.005E-3</v>
      </c>
      <c r="Q40">
        <f t="shared" si="26"/>
        <v>1000</v>
      </c>
      <c r="R40">
        <f t="shared" si="27"/>
        <v>0.40372241504694001</v>
      </c>
      <c r="T40" s="4"/>
    </row>
    <row r="42" spans="1:20" ht="14.5">
      <c r="A42" s="1" t="s">
        <v>0</v>
      </c>
      <c r="B42" s="1" t="s">
        <v>1</v>
      </c>
      <c r="C42" s="1" t="s">
        <v>2</v>
      </c>
      <c r="D42" s="1" t="s">
        <v>3</v>
      </c>
      <c r="E42" s="1" t="s">
        <v>4</v>
      </c>
      <c r="G42" s="1" t="s">
        <v>0</v>
      </c>
      <c r="H42" s="1" t="s">
        <v>1</v>
      </c>
      <c r="I42" s="1" t="s">
        <v>2</v>
      </c>
      <c r="J42" s="1" t="s">
        <v>3</v>
      </c>
      <c r="K42" s="1" t="s">
        <v>4</v>
      </c>
    </row>
    <row r="43" spans="1:20">
      <c r="A43" s="2">
        <v>1</v>
      </c>
      <c r="B43" s="2">
        <v>1.6</v>
      </c>
      <c r="C43" s="2">
        <v>20</v>
      </c>
      <c r="D43" s="3">
        <v>0</v>
      </c>
      <c r="E43" s="2">
        <v>3.52</v>
      </c>
      <c r="G43" s="2">
        <v>1</v>
      </c>
      <c r="H43" s="2">
        <v>1.6</v>
      </c>
      <c r="I43" s="2">
        <v>20</v>
      </c>
      <c r="J43" s="3">
        <v>15</v>
      </c>
      <c r="K43" s="2">
        <v>7.91</v>
      </c>
    </row>
    <row r="44" spans="1:20">
      <c r="A44" s="2">
        <v>2</v>
      </c>
      <c r="B44" s="2">
        <v>1.6</v>
      </c>
      <c r="C44" s="2">
        <v>40</v>
      </c>
      <c r="D44" s="2">
        <v>0</v>
      </c>
      <c r="E44" s="2">
        <v>6.95</v>
      </c>
      <c r="G44" s="2">
        <v>2</v>
      </c>
      <c r="H44" s="2">
        <v>1.6</v>
      </c>
      <c r="I44" s="2">
        <v>20</v>
      </c>
      <c r="J44" s="2">
        <v>50</v>
      </c>
      <c r="K44" s="11">
        <v>11</v>
      </c>
    </row>
    <row r="45" spans="1:20">
      <c r="A45" s="2">
        <v>3</v>
      </c>
      <c r="B45" s="2">
        <v>1.6</v>
      </c>
      <c r="C45" s="2">
        <v>52</v>
      </c>
      <c r="D45" s="2">
        <v>0</v>
      </c>
      <c r="E45" s="2">
        <v>10.8</v>
      </c>
      <c r="G45" s="2">
        <v>3</v>
      </c>
      <c r="H45" s="2">
        <v>1.6</v>
      </c>
      <c r="I45" s="2">
        <v>20</v>
      </c>
      <c r="J45" s="2">
        <v>25</v>
      </c>
      <c r="K45" s="2">
        <v>8.1999999999999993</v>
      </c>
    </row>
    <row r="46" spans="1:20">
      <c r="A46" s="2">
        <v>4</v>
      </c>
      <c r="B46" s="2">
        <v>1.6</v>
      </c>
      <c r="C46" s="2">
        <v>79</v>
      </c>
      <c r="D46" s="2">
        <v>0</v>
      </c>
      <c r="E46" s="2">
        <v>15.03</v>
      </c>
      <c r="G46" s="2">
        <v>4</v>
      </c>
      <c r="H46" s="2">
        <v>1.6</v>
      </c>
      <c r="I46" s="2">
        <v>20</v>
      </c>
      <c r="J46" s="2">
        <v>38</v>
      </c>
      <c r="K46" s="2">
        <v>10.7</v>
      </c>
    </row>
    <row r="47" spans="1:20">
      <c r="A47" s="2">
        <v>5</v>
      </c>
      <c r="B47" s="2">
        <v>1.6</v>
      </c>
      <c r="C47" s="2">
        <v>95</v>
      </c>
      <c r="D47" s="2">
        <v>0</v>
      </c>
      <c r="E47" s="2">
        <v>19.510000000000002</v>
      </c>
      <c r="G47" s="2">
        <v>5</v>
      </c>
      <c r="H47" s="2">
        <v>1.6</v>
      </c>
      <c r="I47" s="2">
        <v>20</v>
      </c>
      <c r="J47" s="2">
        <v>62</v>
      </c>
      <c r="K47" s="11">
        <v>11.1</v>
      </c>
    </row>
    <row r="48" spans="1:20">
      <c r="A48" s="2">
        <v>6</v>
      </c>
      <c r="B48" s="2">
        <v>1.6</v>
      </c>
      <c r="C48" s="2">
        <v>110</v>
      </c>
      <c r="D48" s="2">
        <v>0</v>
      </c>
      <c r="E48" s="2">
        <v>24.55</v>
      </c>
      <c r="G48" s="2">
        <v>6</v>
      </c>
      <c r="H48" s="2">
        <v>1.6</v>
      </c>
      <c r="I48" s="2">
        <v>50</v>
      </c>
      <c r="J48" s="2">
        <v>100</v>
      </c>
      <c r="K48" s="11">
        <v>29.34</v>
      </c>
    </row>
    <row r="49" spans="1:18">
      <c r="A49" s="2">
        <v>7</v>
      </c>
      <c r="B49" s="2">
        <v>1.6</v>
      </c>
      <c r="C49" s="2">
        <v>120</v>
      </c>
      <c r="D49" s="2">
        <v>0</v>
      </c>
      <c r="E49" s="2">
        <v>30.13</v>
      </c>
      <c r="G49" s="2">
        <v>7</v>
      </c>
      <c r="H49" s="2">
        <v>1.6</v>
      </c>
      <c r="I49" s="2">
        <v>50</v>
      </c>
      <c r="J49" s="2">
        <v>210</v>
      </c>
      <c r="K49" s="11">
        <v>33.6</v>
      </c>
    </row>
    <row r="50" spans="1:18">
      <c r="A50" s="2">
        <v>8</v>
      </c>
      <c r="B50" s="2">
        <v>1.6</v>
      </c>
      <c r="C50" s="2">
        <v>150</v>
      </c>
      <c r="D50" s="2">
        <v>0</v>
      </c>
      <c r="E50" s="2">
        <v>35.5</v>
      </c>
      <c r="G50" s="2">
        <v>8</v>
      </c>
      <c r="H50" s="2">
        <v>1.6</v>
      </c>
      <c r="I50" s="2">
        <v>165</v>
      </c>
      <c r="J50" s="2">
        <v>17</v>
      </c>
      <c r="K50" s="11">
        <v>55.5</v>
      </c>
    </row>
    <row r="51" spans="1:18">
      <c r="A51" s="2">
        <v>9</v>
      </c>
      <c r="B51" s="2">
        <v>1.6</v>
      </c>
      <c r="C51" s="2">
        <v>160</v>
      </c>
      <c r="D51" s="2">
        <v>0</v>
      </c>
      <c r="E51" s="11">
        <v>37.9</v>
      </c>
      <c r="G51" s="2">
        <v>9</v>
      </c>
      <c r="H51" s="2">
        <v>1.6</v>
      </c>
      <c r="I51" s="2">
        <v>130</v>
      </c>
      <c r="J51" s="2">
        <v>52</v>
      </c>
      <c r="K51" s="11">
        <v>55</v>
      </c>
    </row>
    <row r="52" spans="1:18">
      <c r="A52" s="4">
        <v>10</v>
      </c>
      <c r="B52" s="4">
        <v>1.6</v>
      </c>
      <c r="C52" s="4">
        <v>165</v>
      </c>
      <c r="D52" s="4">
        <v>0</v>
      </c>
      <c r="E52" s="4">
        <v>44.4</v>
      </c>
      <c r="G52" s="4">
        <v>10</v>
      </c>
      <c r="H52" s="4">
        <v>1.6</v>
      </c>
      <c r="I52" s="4">
        <v>130</v>
      </c>
      <c r="J52" s="4">
        <v>60</v>
      </c>
      <c r="K52" s="4">
        <v>62.5</v>
      </c>
    </row>
    <row r="54" spans="1:18">
      <c r="A54" s="27" t="s">
        <v>0</v>
      </c>
      <c r="B54" s="27" t="s">
        <v>5</v>
      </c>
      <c r="C54" s="27" t="s">
        <v>6</v>
      </c>
      <c r="D54" s="27" t="s">
        <v>7</v>
      </c>
      <c r="E54" s="27" t="s">
        <v>8</v>
      </c>
      <c r="F54" s="27" t="s">
        <v>9</v>
      </c>
      <c r="G54" s="27" t="s">
        <v>10</v>
      </c>
      <c r="H54" s="31" t="s">
        <v>11</v>
      </c>
      <c r="I54" s="27" t="s">
        <v>12</v>
      </c>
      <c r="J54" s="29" t="s">
        <v>13</v>
      </c>
      <c r="K54" s="27" t="s">
        <v>14</v>
      </c>
      <c r="L54" s="27"/>
      <c r="M54" s="27"/>
    </row>
    <row r="55" spans="1:18">
      <c r="A55" s="28"/>
      <c r="B55" s="28"/>
      <c r="C55" s="28"/>
      <c r="D55" s="28"/>
      <c r="E55" s="28"/>
      <c r="F55" s="28"/>
      <c r="G55" s="28"/>
      <c r="H55" s="32"/>
      <c r="I55" s="28"/>
      <c r="J55" s="30"/>
      <c r="K55" s="5" t="s">
        <v>15</v>
      </c>
      <c r="L55" s="5" t="s">
        <v>16</v>
      </c>
      <c r="M55" s="5" t="s">
        <v>17</v>
      </c>
      <c r="O55" t="s">
        <v>18</v>
      </c>
      <c r="P55" s="12" t="s">
        <v>19</v>
      </c>
      <c r="Q55" s="12" t="s">
        <v>20</v>
      </c>
      <c r="R55" s="12" t="s">
        <v>21</v>
      </c>
    </row>
    <row r="56" spans="1:18">
      <c r="A56" s="2">
        <v>1</v>
      </c>
      <c r="B56" s="3">
        <f>(4*D43)/(3.1415926*0.0016^2*1000000*60)</f>
        <v>0</v>
      </c>
      <c r="C56" s="6">
        <f>(4*C43)/(3.1415926*0.0016^2*1000000*60)</f>
        <v>0.16578640188206875</v>
      </c>
      <c r="D56" s="3">
        <f>(0.0016*B56*6.9)/(0.0000175)</f>
        <v>0</v>
      </c>
      <c r="E56" s="3">
        <f>(0.0016*C56*1000)/(0.001005)</f>
        <v>263.93855026000995</v>
      </c>
      <c r="F56" s="3">
        <v>0</v>
      </c>
      <c r="G56" s="7">
        <f>(64*1.2*1000*C56^2)/(E56*0.0016*2*1000)</f>
        <v>2.4992300083721859</v>
      </c>
      <c r="H56" s="3">
        <v>1</v>
      </c>
      <c r="I56" s="7" t="s">
        <v>22</v>
      </c>
      <c r="J56" s="7">
        <f>(64*P56)/(Q56*R56*0.0016)</f>
        <v>0.24248068323840002</v>
      </c>
      <c r="K56" s="7">
        <f>(J56*Q56*1.2*R56^2)/(0.0016*2*1000)</f>
        <v>2.4992300083721859</v>
      </c>
      <c r="L56" s="2">
        <v>10.130000000000001</v>
      </c>
      <c r="M56" s="7">
        <f>(L56-K56)/L56</f>
        <v>0.75328430322090967</v>
      </c>
      <c r="O56">
        <f>C43/(C43+D43)</f>
        <v>1</v>
      </c>
      <c r="P56">
        <f>O56*0.001005+(1-O56)*0.0000175</f>
        <v>1.005E-3</v>
      </c>
      <c r="Q56">
        <f>O56*1000+(1-O56)*6.9</f>
        <v>1000</v>
      </c>
      <c r="R56">
        <f>4*(C43+D43)/(3.1415926*0.0016^2*1000000*60)</f>
        <v>0.16578640188206875</v>
      </c>
    </row>
    <row r="57" spans="1:18">
      <c r="A57" s="2">
        <v>2</v>
      </c>
      <c r="B57" s="3">
        <f t="shared" ref="B57:B65" si="28">(4*D44)/(3.1415926*0.0016^2*1000000*60)</f>
        <v>0</v>
      </c>
      <c r="C57" s="6">
        <f t="shared" ref="C57:C65" si="29">(4*C44)/(3.1415926*0.0016^2*1000000*60)</f>
        <v>0.3315728037641375</v>
      </c>
      <c r="D57" s="3">
        <f t="shared" ref="D57:D65" si="30">(0.0016*B57*6.9)/(0.0000175)</f>
        <v>0</v>
      </c>
      <c r="E57" s="3">
        <f t="shared" ref="E57:E65" si="31">(0.0016*C57*1000)/(0.001005)</f>
        <v>527.87710052001989</v>
      </c>
      <c r="F57" s="3">
        <v>0</v>
      </c>
      <c r="G57" s="7">
        <f t="shared" ref="G57:G65" si="32">(64*1.2*1000*C57^2)/(E57*0.0016*2*1000)</f>
        <v>4.9984600167443718</v>
      </c>
      <c r="H57" s="3">
        <v>1</v>
      </c>
      <c r="I57" s="7" t="s">
        <v>22</v>
      </c>
      <c r="J57" s="7">
        <f t="shared" ref="J57:J65" si="33">(64*P57)/(Q57*R57*0.0016)</f>
        <v>0.12124034161920001</v>
      </c>
      <c r="K57" s="7">
        <f t="shared" ref="K57:K65" si="34">(J57*Q57*1.2*R57^2)/(0.0016*2*1000)</f>
        <v>4.9984600167443718</v>
      </c>
      <c r="L57" s="2">
        <v>14.08</v>
      </c>
      <c r="M57" s="7">
        <f t="shared" ref="M57:M65" si="35">(L57-K57)/L57</f>
        <v>0.64499573744713268</v>
      </c>
      <c r="O57">
        <f t="shared" ref="O57:O65" si="36">C44/(C44+D44)</f>
        <v>1</v>
      </c>
      <c r="P57">
        <f t="shared" ref="P57:P65" si="37">O57*0.001005+(1-O57)*0.0000175</f>
        <v>1.005E-3</v>
      </c>
      <c r="Q57">
        <f t="shared" ref="Q57:Q65" si="38">O57*1000+(1-O57)*6.9</f>
        <v>1000</v>
      </c>
      <c r="R57">
        <f t="shared" ref="R57:R65" si="39">4*(C44+D44)/(3.1415926*0.0016^2*1000000*60)</f>
        <v>0.3315728037641375</v>
      </c>
    </row>
    <row r="58" spans="1:18">
      <c r="A58" s="2">
        <v>3</v>
      </c>
      <c r="B58" s="3">
        <f t="shared" si="28"/>
        <v>0</v>
      </c>
      <c r="C58" s="6">
        <f t="shared" si="29"/>
        <v>0.43104464489337874</v>
      </c>
      <c r="D58" s="3">
        <f t="shared" si="30"/>
        <v>0</v>
      </c>
      <c r="E58" s="3">
        <f t="shared" si="31"/>
        <v>686.24023067602593</v>
      </c>
      <c r="F58" s="3">
        <v>0</v>
      </c>
      <c r="G58" s="7">
        <f t="shared" si="32"/>
        <v>6.4979980217676827</v>
      </c>
      <c r="H58" s="3">
        <v>1</v>
      </c>
      <c r="I58" s="7" t="s">
        <v>22</v>
      </c>
      <c r="J58" s="7">
        <f t="shared" si="33"/>
        <v>9.326180124553847E-2</v>
      </c>
      <c r="K58" s="7">
        <f t="shared" si="34"/>
        <v>6.4979980217676818</v>
      </c>
      <c r="L58" s="2">
        <v>18.03</v>
      </c>
      <c r="M58" s="7">
        <f t="shared" si="35"/>
        <v>0.63960077527633497</v>
      </c>
      <c r="O58">
        <f t="shared" si="36"/>
        <v>1</v>
      </c>
      <c r="P58">
        <f t="shared" si="37"/>
        <v>1.005E-3</v>
      </c>
      <c r="Q58">
        <f t="shared" si="38"/>
        <v>1000</v>
      </c>
      <c r="R58">
        <f t="shared" si="39"/>
        <v>0.43104464489337874</v>
      </c>
    </row>
    <row r="59" spans="1:18">
      <c r="A59" s="2">
        <v>4</v>
      </c>
      <c r="B59" s="3">
        <f t="shared" si="28"/>
        <v>0</v>
      </c>
      <c r="C59" s="6">
        <f t="shared" si="29"/>
        <v>0.65485628743417157</v>
      </c>
      <c r="D59" s="3">
        <f t="shared" si="30"/>
        <v>0</v>
      </c>
      <c r="E59" s="3">
        <f t="shared" si="31"/>
        <v>1042.5572735270391</v>
      </c>
      <c r="F59" s="3">
        <v>0</v>
      </c>
      <c r="G59" s="7">
        <f t="shared" si="32"/>
        <v>9.8719585330701367</v>
      </c>
      <c r="H59" s="3">
        <v>1</v>
      </c>
      <c r="I59" s="7" t="s">
        <v>22</v>
      </c>
      <c r="J59" s="7">
        <f t="shared" si="33"/>
        <v>6.1387514743898738E-2</v>
      </c>
      <c r="K59" s="7">
        <f t="shared" si="34"/>
        <v>9.8719585330701349</v>
      </c>
      <c r="L59" s="2">
        <v>22.37</v>
      </c>
      <c r="M59" s="7">
        <f t="shared" si="35"/>
        <v>0.5586965340603427</v>
      </c>
      <c r="O59">
        <f t="shared" si="36"/>
        <v>1</v>
      </c>
      <c r="P59">
        <f t="shared" si="37"/>
        <v>1.005E-3</v>
      </c>
      <c r="Q59">
        <f t="shared" si="38"/>
        <v>1000</v>
      </c>
      <c r="R59">
        <f t="shared" si="39"/>
        <v>0.65485628743417157</v>
      </c>
    </row>
    <row r="60" spans="1:18">
      <c r="A60" s="2">
        <v>5</v>
      </c>
      <c r="B60" s="3">
        <f t="shared" si="28"/>
        <v>0</v>
      </c>
      <c r="C60" s="6">
        <f t="shared" si="29"/>
        <v>0.78748540893982655</v>
      </c>
      <c r="D60" s="3">
        <f t="shared" si="30"/>
        <v>0</v>
      </c>
      <c r="E60" s="3">
        <f t="shared" si="31"/>
        <v>1253.7081137350474</v>
      </c>
      <c r="F60" s="3">
        <v>0</v>
      </c>
      <c r="G60" s="7">
        <f t="shared" si="32"/>
        <v>11.871342539767884</v>
      </c>
      <c r="H60" s="3">
        <v>1</v>
      </c>
      <c r="I60" s="7" t="s">
        <v>22</v>
      </c>
      <c r="J60" s="7">
        <f t="shared" si="33"/>
        <v>5.1048564892294743E-2</v>
      </c>
      <c r="K60" s="7">
        <f t="shared" si="34"/>
        <v>11.871342539767884</v>
      </c>
      <c r="L60" s="2">
        <v>27.08</v>
      </c>
      <c r="M60" s="7">
        <f t="shared" si="35"/>
        <v>0.56161955170724209</v>
      </c>
      <c r="O60">
        <f t="shared" si="36"/>
        <v>1</v>
      </c>
      <c r="P60">
        <f t="shared" si="37"/>
        <v>1.005E-3</v>
      </c>
      <c r="Q60">
        <f t="shared" si="38"/>
        <v>1000</v>
      </c>
      <c r="R60">
        <f t="shared" si="39"/>
        <v>0.78748540893982655</v>
      </c>
    </row>
    <row r="61" spans="1:18">
      <c r="A61" s="2">
        <v>6</v>
      </c>
      <c r="B61" s="3">
        <f t="shared" si="28"/>
        <v>0</v>
      </c>
      <c r="C61" s="6">
        <f t="shared" si="29"/>
        <v>0.91182521035137809</v>
      </c>
      <c r="D61" s="3">
        <f t="shared" si="30"/>
        <v>0</v>
      </c>
      <c r="E61" s="3">
        <f t="shared" si="31"/>
        <v>1451.6620264300548</v>
      </c>
      <c r="F61" s="3">
        <v>0</v>
      </c>
      <c r="G61" s="7">
        <f t="shared" si="32"/>
        <v>13.745765046047024</v>
      </c>
      <c r="H61" s="3">
        <v>1</v>
      </c>
      <c r="I61" s="7" t="s">
        <v>22</v>
      </c>
      <c r="J61" s="7">
        <f t="shared" si="33"/>
        <v>4.4087396952436374E-2</v>
      </c>
      <c r="K61" s="7">
        <f t="shared" si="34"/>
        <v>13.745765046047024</v>
      </c>
      <c r="L61" s="2">
        <v>31.96</v>
      </c>
      <c r="M61" s="7">
        <f t="shared" si="35"/>
        <v>0.5699072263439604</v>
      </c>
      <c r="O61">
        <f t="shared" si="36"/>
        <v>1</v>
      </c>
      <c r="P61">
        <f t="shared" si="37"/>
        <v>1.005E-3</v>
      </c>
      <c r="Q61">
        <f t="shared" si="38"/>
        <v>1000</v>
      </c>
      <c r="R61">
        <f t="shared" si="39"/>
        <v>0.91182521035137809</v>
      </c>
    </row>
    <row r="62" spans="1:18">
      <c r="A62" s="2">
        <v>7</v>
      </c>
      <c r="B62" s="3">
        <f t="shared" si="28"/>
        <v>0</v>
      </c>
      <c r="C62" s="6">
        <f t="shared" si="29"/>
        <v>0.99471841129241245</v>
      </c>
      <c r="D62" s="3">
        <f t="shared" si="30"/>
        <v>0</v>
      </c>
      <c r="E62" s="3">
        <f t="shared" si="31"/>
        <v>1583.6313015600597</v>
      </c>
      <c r="F62" s="3">
        <v>0</v>
      </c>
      <c r="G62" s="7">
        <f t="shared" si="32"/>
        <v>14.995380050233114</v>
      </c>
      <c r="H62" s="3">
        <v>1</v>
      </c>
      <c r="I62" s="7" t="s">
        <v>22</v>
      </c>
      <c r="J62" s="7">
        <f t="shared" si="33"/>
        <v>4.0413447206400006E-2</v>
      </c>
      <c r="K62" s="7">
        <f t="shared" si="34"/>
        <v>14.995380050233118</v>
      </c>
      <c r="L62" s="2">
        <v>37.369999999999997</v>
      </c>
      <c r="M62" s="7">
        <f t="shared" si="35"/>
        <v>0.59873213673446302</v>
      </c>
      <c r="O62">
        <f t="shared" si="36"/>
        <v>1</v>
      </c>
      <c r="P62">
        <f t="shared" si="37"/>
        <v>1.005E-3</v>
      </c>
      <c r="Q62">
        <f t="shared" si="38"/>
        <v>1000</v>
      </c>
      <c r="R62">
        <f t="shared" si="39"/>
        <v>0.99471841129241245</v>
      </c>
    </row>
    <row r="63" spans="1:18">
      <c r="A63" s="2">
        <v>8</v>
      </c>
      <c r="B63" s="3">
        <f t="shared" si="28"/>
        <v>0</v>
      </c>
      <c r="C63" s="6">
        <f t="shared" si="29"/>
        <v>1.2433980141155156</v>
      </c>
      <c r="D63" s="3">
        <f t="shared" si="30"/>
        <v>0</v>
      </c>
      <c r="E63" s="3">
        <f t="shared" si="31"/>
        <v>1979.5391269500747</v>
      </c>
      <c r="F63" s="3">
        <v>0</v>
      </c>
      <c r="G63" s="7">
        <f t="shared" si="32"/>
        <v>18.744225062791397</v>
      </c>
      <c r="H63" s="3">
        <v>1</v>
      </c>
      <c r="I63" s="7" t="s">
        <v>22</v>
      </c>
      <c r="J63" s="7">
        <f t="shared" si="33"/>
        <v>3.2330757765120004E-2</v>
      </c>
      <c r="K63" s="7">
        <f t="shared" si="34"/>
        <v>18.744225062791397</v>
      </c>
      <c r="L63" s="2">
        <v>43.14</v>
      </c>
      <c r="M63" s="7">
        <f t="shared" si="35"/>
        <v>0.56550243248049614</v>
      </c>
      <c r="O63">
        <f t="shared" si="36"/>
        <v>1</v>
      </c>
      <c r="P63">
        <f t="shared" si="37"/>
        <v>1.005E-3</v>
      </c>
      <c r="Q63">
        <f t="shared" si="38"/>
        <v>1000</v>
      </c>
      <c r="R63">
        <f t="shared" si="39"/>
        <v>1.2433980141155156</v>
      </c>
    </row>
    <row r="64" spans="1:18">
      <c r="A64" s="2">
        <v>9</v>
      </c>
      <c r="B64" s="3">
        <f t="shared" si="28"/>
        <v>0</v>
      </c>
      <c r="C64" s="6">
        <f t="shared" si="29"/>
        <v>1.32629121505655</v>
      </c>
      <c r="D64" s="3">
        <f t="shared" si="30"/>
        <v>0</v>
      </c>
      <c r="E64" s="3">
        <f t="shared" si="31"/>
        <v>2111.5084020800796</v>
      </c>
      <c r="F64" s="3">
        <v>0</v>
      </c>
      <c r="G64" s="7">
        <f t="shared" si="32"/>
        <v>19.993840066977487</v>
      </c>
      <c r="H64" s="3">
        <v>1</v>
      </c>
      <c r="I64" s="7" t="s">
        <v>22</v>
      </c>
      <c r="J64" s="7">
        <f t="shared" si="33"/>
        <v>3.0310085404800003E-2</v>
      </c>
      <c r="K64" s="7">
        <f t="shared" si="34"/>
        <v>19.993840066977487</v>
      </c>
      <c r="L64" s="11">
        <v>49.8</v>
      </c>
      <c r="M64" s="7">
        <f t="shared" si="35"/>
        <v>0.5985172677313757</v>
      </c>
      <c r="O64">
        <f t="shared" si="36"/>
        <v>1</v>
      </c>
      <c r="P64">
        <f t="shared" si="37"/>
        <v>1.005E-3</v>
      </c>
      <c r="Q64">
        <f t="shared" si="38"/>
        <v>1000</v>
      </c>
      <c r="R64">
        <f t="shared" si="39"/>
        <v>1.32629121505655</v>
      </c>
    </row>
    <row r="65" spans="1:20">
      <c r="A65" s="4">
        <v>10</v>
      </c>
      <c r="B65" s="9">
        <f t="shared" si="28"/>
        <v>0</v>
      </c>
      <c r="C65" s="8">
        <f t="shared" si="29"/>
        <v>1.3677378155270672</v>
      </c>
      <c r="D65" s="9">
        <f t="shared" si="30"/>
        <v>0</v>
      </c>
      <c r="E65" s="9">
        <f t="shared" si="31"/>
        <v>2177.4930396450823</v>
      </c>
      <c r="F65" s="9">
        <v>0</v>
      </c>
      <c r="G65" s="10">
        <f t="shared" si="32"/>
        <v>20.618647569070536</v>
      </c>
      <c r="H65" s="9">
        <v>1</v>
      </c>
      <c r="I65" s="10" t="s">
        <v>22</v>
      </c>
      <c r="J65" s="10">
        <f t="shared" si="33"/>
        <v>2.9391597968290915E-2</v>
      </c>
      <c r="K65" s="10">
        <f t="shared" si="34"/>
        <v>20.618647569070536</v>
      </c>
      <c r="L65" s="4">
        <v>58.36</v>
      </c>
      <c r="M65" s="10">
        <f t="shared" si="35"/>
        <v>0.64669897928254738</v>
      </c>
      <c r="O65">
        <f t="shared" si="36"/>
        <v>1</v>
      </c>
      <c r="P65">
        <f t="shared" si="37"/>
        <v>1.005E-3</v>
      </c>
      <c r="Q65">
        <f t="shared" si="38"/>
        <v>1000</v>
      </c>
      <c r="R65">
        <f t="shared" si="39"/>
        <v>1.3677378155270672</v>
      </c>
    </row>
    <row r="67" spans="1:20">
      <c r="A67" s="27" t="s">
        <v>0</v>
      </c>
      <c r="B67" s="27" t="s">
        <v>5</v>
      </c>
      <c r="C67" s="27" t="s">
        <v>6</v>
      </c>
      <c r="D67" s="27" t="s">
        <v>7</v>
      </c>
      <c r="E67" s="27" t="s">
        <v>8</v>
      </c>
      <c r="F67" s="27" t="s">
        <v>9</v>
      </c>
      <c r="G67" s="27" t="s">
        <v>10</v>
      </c>
      <c r="H67" s="31" t="s">
        <v>11</v>
      </c>
      <c r="I67" s="27" t="s">
        <v>12</v>
      </c>
      <c r="J67" s="29" t="s">
        <v>13</v>
      </c>
      <c r="K67" s="27" t="s">
        <v>14</v>
      </c>
      <c r="L67" s="27"/>
      <c r="M67" s="27"/>
    </row>
    <row r="68" spans="1:20">
      <c r="A68" s="28"/>
      <c r="B68" s="28"/>
      <c r="C68" s="28"/>
      <c r="D68" s="28"/>
      <c r="E68" s="28"/>
      <c r="F68" s="28"/>
      <c r="G68" s="28"/>
      <c r="H68" s="32"/>
      <c r="I68" s="28"/>
      <c r="J68" s="30"/>
      <c r="K68" s="5" t="s">
        <v>15</v>
      </c>
      <c r="L68" s="5" t="s">
        <v>16</v>
      </c>
      <c r="M68" s="5" t="s">
        <v>17</v>
      </c>
      <c r="O68" t="s">
        <v>18</v>
      </c>
      <c r="P68" s="12" t="s">
        <v>19</v>
      </c>
      <c r="Q68" s="12" t="s">
        <v>20</v>
      </c>
      <c r="R68" s="12" t="s">
        <v>21</v>
      </c>
    </row>
    <row r="69" spans="1:20">
      <c r="A69" s="2">
        <v>1</v>
      </c>
      <c r="B69" s="6">
        <f>(4*J43)/(3.1415926*0.0016^2*1000000*60)</f>
        <v>0.12433980141155156</v>
      </c>
      <c r="C69" s="6">
        <f>(4*I43)/(3.1415926*0.0016^2*1000000*60)</f>
        <v>0.16578640188206875</v>
      </c>
      <c r="D69" s="3">
        <f>(0.0016*B69*6.9)/(0.0000175)</f>
        <v>78.440651861915967</v>
      </c>
      <c r="E69" s="3">
        <f>(0.0016*C69*1000)/(0.001005)</f>
        <v>263.93855026000995</v>
      </c>
      <c r="F69" s="7">
        <f>(64*1.2*1000*B69^2)/(D69*0.0016*2*1000)</f>
        <v>4.7303185319611991</v>
      </c>
      <c r="G69" s="7">
        <f>(64*1.2*1000*C69^2)/(E69*0.0016*2*1000)</f>
        <v>2.4992300083721859</v>
      </c>
      <c r="H69" s="7">
        <f>SQRT(1+(5/I69)+(1/(I69^2)))</f>
        <v>1.2587513481163919</v>
      </c>
      <c r="I69" s="7">
        <f>SQRT((D69*1000*C69^2)/(E69*6.9*B69^2))</f>
        <v>8.7505101892077466</v>
      </c>
      <c r="J69" s="7">
        <f>(64*P69)/(Q69*R69*0.0016)</f>
        <v>0.13964727312114092</v>
      </c>
      <c r="K69" s="7">
        <f>(J69*Q69*1.2*R69^2)/(0.0016*2*1000)</f>
        <v>2.5318692062427175</v>
      </c>
      <c r="L69" s="2">
        <v>13.81</v>
      </c>
      <c r="M69" s="7">
        <f>(L69-K69)/L69</f>
        <v>0.81666406906280109</v>
      </c>
      <c r="O69">
        <f>I43/(I43+J43)</f>
        <v>0.5714285714285714</v>
      </c>
      <c r="P69">
        <f>O69*0.001005+(1-O69)*0.0000175</f>
        <v>5.8178571428571426E-4</v>
      </c>
      <c r="Q69">
        <f>O69*1000+(1-O69)*6.9</f>
        <v>574.38571428571436</v>
      </c>
      <c r="R69">
        <f>4*(I43+J43)/(3.1415926*0.0016^2*1000000*60)</f>
        <v>0.29012620329362032</v>
      </c>
      <c r="S69">
        <f t="shared" ref="S69:S78" si="40">R69^2</f>
        <v>8.4173213837571106E-2</v>
      </c>
      <c r="T69" s="2">
        <v>13.81</v>
      </c>
    </row>
    <row r="70" spans="1:20">
      <c r="A70" s="2">
        <v>2</v>
      </c>
      <c r="B70" s="6">
        <f t="shared" ref="B70:B78" si="41">(4*J44)/(3.1415926*0.0016^2*1000000*60)</f>
        <v>0.41446600470517186</v>
      </c>
      <c r="C70" s="6">
        <f t="shared" ref="C70:C78" si="42">(4*I44)/(3.1415926*0.0016^2*1000000*60)</f>
        <v>0.16578640188206875</v>
      </c>
      <c r="D70" s="3">
        <f t="shared" ref="D70:D78" si="43">(0.0016*B70*6.9)/(0.0000175)</f>
        <v>261.46883953971991</v>
      </c>
      <c r="E70" s="3">
        <f t="shared" ref="E70:E78" si="44">(0.0016*C70*1000)/(0.001005)</f>
        <v>263.93855026000995</v>
      </c>
      <c r="F70" s="7">
        <f t="shared" ref="F70:F78" si="45">(64*1.2*1000*B70^2)/(D70*0.0016*2*1000)</f>
        <v>15.767728439870668</v>
      </c>
      <c r="G70" s="7">
        <f t="shared" ref="G70:G78" si="46">(64*1.2*1000*C70^2)/(E70*0.0016*2*1000)</f>
        <v>2.4992300083721859</v>
      </c>
      <c r="H70" s="7">
        <f t="shared" ref="H70:H78" si="47">SQRT(1+(5/I70)+(1/(I70^2)))</f>
        <v>1.4445596466841402</v>
      </c>
      <c r="I70" s="7">
        <f t="shared" ref="I70:I78" si="48">SQRT((D70*1000*C70^2)/(E70*6.9*B70^2))</f>
        <v>4.7928518203078818</v>
      </c>
      <c r="J70" s="7">
        <f t="shared" ref="J70:J78" si="49">(64*P70)/(Q70*R70*0.0016)</f>
        <v>7.1070163781736459E-2</v>
      </c>
      <c r="K70" s="7">
        <f t="shared" ref="K70:K78" si="50">(J70*Q70*1.2*R70^2)/(0.0016*2*1000)</f>
        <v>2.6080273346072933</v>
      </c>
      <c r="L70" s="11">
        <v>20.8</v>
      </c>
      <c r="M70" s="7">
        <f t="shared" ref="M70:M78" si="51">(L70-K70)/L70</f>
        <v>0.87461407045157247</v>
      </c>
      <c r="O70">
        <f t="shared" ref="O70:O78" si="52">I44/(I44+J44)</f>
        <v>0.2857142857142857</v>
      </c>
      <c r="P70">
        <f t="shared" ref="P70:P78" si="53">O70*0.001005+(1-O70)*0.0000175</f>
        <v>2.996428571428571E-4</v>
      </c>
      <c r="Q70">
        <f t="shared" ref="Q70:Q78" si="54">O70*1000+(1-O70)*6.9</f>
        <v>290.64285714285717</v>
      </c>
      <c r="R70">
        <f t="shared" ref="R70:R78" si="55">4*(I44+J44)/(3.1415926*0.0016^2*1000000*60)</f>
        <v>0.58025240658724064</v>
      </c>
      <c r="S70">
        <f t="shared" si="40"/>
        <v>0.33669285535028443</v>
      </c>
      <c r="T70" s="11">
        <v>20.8</v>
      </c>
    </row>
    <row r="71" spans="1:20">
      <c r="A71" s="2">
        <v>3</v>
      </c>
      <c r="B71" s="6">
        <f t="shared" si="41"/>
        <v>0.20723300235258593</v>
      </c>
      <c r="C71" s="6">
        <f t="shared" si="42"/>
        <v>0.16578640188206875</v>
      </c>
      <c r="D71" s="3">
        <f t="shared" si="43"/>
        <v>130.73441976985995</v>
      </c>
      <c r="E71" s="3">
        <f t="shared" si="44"/>
        <v>263.93855026000995</v>
      </c>
      <c r="F71" s="7">
        <f t="shared" si="45"/>
        <v>7.8838642199353339</v>
      </c>
      <c r="G71" s="7">
        <f t="shared" si="46"/>
        <v>2.4992300083721859</v>
      </c>
      <c r="H71" s="7">
        <f t="shared" si="47"/>
        <v>1.3264366819619264</v>
      </c>
      <c r="I71" s="7">
        <f t="shared" si="48"/>
        <v>6.7781160467239827</v>
      </c>
      <c r="J71" s="7">
        <f t="shared" si="49"/>
        <v>0.10917329535265008</v>
      </c>
      <c r="K71" s="7">
        <f t="shared" si="50"/>
        <v>2.5536286714897392</v>
      </c>
      <c r="L71" s="2">
        <v>30.43</v>
      </c>
      <c r="M71" s="7">
        <f t="shared" si="51"/>
        <v>0.9160818708021774</v>
      </c>
      <c r="O71">
        <f t="shared" si="52"/>
        <v>0.44444444444444442</v>
      </c>
      <c r="P71">
        <f t="shared" si="53"/>
        <v>4.5638888888888888E-4</v>
      </c>
      <c r="Q71">
        <f t="shared" si="54"/>
        <v>448.27777777777771</v>
      </c>
      <c r="R71">
        <f t="shared" si="55"/>
        <v>0.37301940423465468</v>
      </c>
      <c r="S71">
        <f t="shared" si="40"/>
        <v>0.13914347593557672</v>
      </c>
      <c r="T71" s="2">
        <v>30.43</v>
      </c>
    </row>
    <row r="72" spans="1:20">
      <c r="A72" s="2">
        <v>4</v>
      </c>
      <c r="B72" s="6">
        <f t="shared" si="41"/>
        <v>0.31499416357593063</v>
      </c>
      <c r="C72" s="6">
        <f t="shared" si="42"/>
        <v>0.16578640188206875</v>
      </c>
      <c r="D72" s="3">
        <f t="shared" si="43"/>
        <v>198.71631805018714</v>
      </c>
      <c r="E72" s="3">
        <f t="shared" si="44"/>
        <v>263.93855026000995</v>
      </c>
      <c r="F72" s="7">
        <f t="shared" si="45"/>
        <v>11.983473614301705</v>
      </c>
      <c r="G72" s="7">
        <f t="shared" si="46"/>
        <v>2.4992300083721859</v>
      </c>
      <c r="H72" s="7">
        <f t="shared" si="47"/>
        <v>1.3937513740764909</v>
      </c>
      <c r="I72" s="7">
        <f t="shared" si="48"/>
        <v>5.4977780884439529</v>
      </c>
      <c r="J72" s="7">
        <f t="shared" si="49"/>
        <v>8.5262571175257901E-2</v>
      </c>
      <c r="K72" s="7">
        <f t="shared" si="50"/>
        <v>2.5819159763108677</v>
      </c>
      <c r="L72" s="2">
        <v>40.909999999999997</v>
      </c>
      <c r="M72" s="7">
        <f t="shared" si="51"/>
        <v>0.93688790084793772</v>
      </c>
      <c r="O72">
        <f t="shared" si="52"/>
        <v>0.34482758620689657</v>
      </c>
      <c r="P72">
        <f t="shared" si="53"/>
        <v>3.5801724137931034E-4</v>
      </c>
      <c r="Q72">
        <f t="shared" si="54"/>
        <v>349.34827586206899</v>
      </c>
      <c r="R72">
        <f t="shared" si="55"/>
        <v>0.48078056545799935</v>
      </c>
      <c r="S72">
        <f t="shared" si="40"/>
        <v>0.23114995212211359</v>
      </c>
      <c r="T72" s="2">
        <v>40.909999999999997</v>
      </c>
    </row>
    <row r="73" spans="1:20">
      <c r="A73" s="2">
        <v>5</v>
      </c>
      <c r="B73" s="6">
        <f t="shared" si="41"/>
        <v>0.51393784583441315</v>
      </c>
      <c r="C73" s="6">
        <f t="shared" si="42"/>
        <v>0.16578640188206875</v>
      </c>
      <c r="D73" s="3">
        <f t="shared" si="43"/>
        <v>324.22136102925276</v>
      </c>
      <c r="E73" s="3">
        <f t="shared" si="44"/>
        <v>263.93855026000995</v>
      </c>
      <c r="F73" s="7">
        <f t="shared" si="45"/>
        <v>19.551983265439624</v>
      </c>
      <c r="G73" s="7">
        <f t="shared" si="46"/>
        <v>2.4992300083721859</v>
      </c>
      <c r="H73" s="7">
        <f t="shared" si="47"/>
        <v>1.4885096534355886</v>
      </c>
      <c r="I73" s="7">
        <f t="shared" si="48"/>
        <v>4.3041079937798745</v>
      </c>
      <c r="J73" s="7">
        <f t="shared" si="49"/>
        <v>6.1028697298215563E-2</v>
      </c>
      <c r="K73" s="7">
        <f t="shared" si="50"/>
        <v>2.6341386929037194</v>
      </c>
      <c r="L73" s="11">
        <v>5.3</v>
      </c>
      <c r="M73" s="7">
        <f t="shared" si="51"/>
        <v>0.50299269945212843</v>
      </c>
      <c r="O73">
        <f t="shared" si="52"/>
        <v>0.24390243902439024</v>
      </c>
      <c r="P73">
        <f t="shared" si="53"/>
        <v>2.5835365853658535E-4</v>
      </c>
      <c r="Q73">
        <f t="shared" si="54"/>
        <v>249.11951219512196</v>
      </c>
      <c r="R73">
        <f t="shared" si="55"/>
        <v>0.67972424771648188</v>
      </c>
      <c r="S73">
        <f t="shared" si="40"/>
        <v>0.46202505293373725</v>
      </c>
      <c r="T73" s="11">
        <v>5.3</v>
      </c>
    </row>
    <row r="74" spans="1:20">
      <c r="A74" s="2">
        <v>6</v>
      </c>
      <c r="B74" s="6">
        <f t="shared" si="41"/>
        <v>0.82893200941034373</v>
      </c>
      <c r="C74" s="6">
        <f t="shared" si="42"/>
        <v>0.41446600470517186</v>
      </c>
      <c r="D74" s="3">
        <f t="shared" si="43"/>
        <v>522.93767907943982</v>
      </c>
      <c r="E74" s="3">
        <f t="shared" si="44"/>
        <v>659.84637565002481</v>
      </c>
      <c r="F74" s="7">
        <f t="shared" si="45"/>
        <v>31.535456879741336</v>
      </c>
      <c r="G74" s="7">
        <f t="shared" si="46"/>
        <v>6.2480750209304663</v>
      </c>
      <c r="H74" s="7">
        <f t="shared" si="47"/>
        <v>1.4028223032881035</v>
      </c>
      <c r="I74" s="7">
        <f t="shared" si="48"/>
        <v>5.3585712381460153</v>
      </c>
      <c r="J74" s="7">
        <f t="shared" si="49"/>
        <v>3.3001286795186428E-2</v>
      </c>
      <c r="K74" s="7">
        <f t="shared" si="50"/>
        <v>6.4656696734006811</v>
      </c>
      <c r="L74" s="11">
        <v>6.9</v>
      </c>
      <c r="M74" s="7">
        <f t="shared" si="51"/>
        <v>6.2946424144828872E-2</v>
      </c>
      <c r="O74">
        <f t="shared" si="52"/>
        <v>0.33333333333333331</v>
      </c>
      <c r="P74">
        <f t="shared" si="53"/>
        <v>3.4666666666666667E-4</v>
      </c>
      <c r="Q74">
        <f t="shared" si="54"/>
        <v>337.93333333333334</v>
      </c>
      <c r="R74">
        <f t="shared" si="55"/>
        <v>1.2433980141155156</v>
      </c>
      <c r="S74">
        <f t="shared" si="40"/>
        <v>1.5460386215064081</v>
      </c>
      <c r="T74" s="11">
        <v>6.9</v>
      </c>
    </row>
    <row r="75" spans="1:20">
      <c r="A75" s="2">
        <v>7</v>
      </c>
      <c r="B75" s="6">
        <f t="shared" si="41"/>
        <v>1.7407572197617218</v>
      </c>
      <c r="C75" s="6">
        <f t="shared" si="42"/>
        <v>0.41446600470517186</v>
      </c>
      <c r="D75" s="3">
        <f t="shared" si="43"/>
        <v>1098.1691260668235</v>
      </c>
      <c r="E75" s="3">
        <f t="shared" si="44"/>
        <v>659.84637565002481</v>
      </c>
      <c r="F75" s="7">
        <f t="shared" si="45"/>
        <v>66.224459447456795</v>
      </c>
      <c r="G75" s="7">
        <f t="shared" si="46"/>
        <v>6.2480750209304663</v>
      </c>
      <c r="H75" s="7">
        <f t="shared" si="47"/>
        <v>1.5573382081645453</v>
      </c>
      <c r="I75" s="7">
        <f t="shared" si="48"/>
        <v>3.6977654587270816</v>
      </c>
      <c r="J75" s="7">
        <f t="shared" si="49"/>
        <v>1.9452747466638359E-2</v>
      </c>
      <c r="K75" s="7">
        <f t="shared" si="50"/>
        <v>6.7050237911179176</v>
      </c>
      <c r="L75" s="11">
        <v>8.1999999999999993</v>
      </c>
      <c r="M75" s="7">
        <f t="shared" si="51"/>
        <v>0.18231417181488804</v>
      </c>
      <c r="O75">
        <f t="shared" si="52"/>
        <v>0.19230769230769232</v>
      </c>
      <c r="P75">
        <f t="shared" si="53"/>
        <v>2.0740384615384615E-4</v>
      </c>
      <c r="Q75">
        <f t="shared" si="54"/>
        <v>197.88076923076923</v>
      </c>
      <c r="R75">
        <f t="shared" si="55"/>
        <v>2.1552232244668938</v>
      </c>
      <c r="S75">
        <f t="shared" si="40"/>
        <v>4.6449871472814754</v>
      </c>
      <c r="T75" s="11">
        <v>8.1999999999999993</v>
      </c>
    </row>
    <row r="76" spans="1:20">
      <c r="A76" s="2">
        <v>8</v>
      </c>
      <c r="B76" s="6">
        <f t="shared" si="41"/>
        <v>0.14091844159975844</v>
      </c>
      <c r="C76" s="6">
        <f t="shared" si="42"/>
        <v>1.3677378155270672</v>
      </c>
      <c r="D76" s="3">
        <f t="shared" si="43"/>
        <v>88.899405443504762</v>
      </c>
      <c r="E76" s="3">
        <f t="shared" si="44"/>
        <v>2177.4930396450823</v>
      </c>
      <c r="F76" s="7">
        <f t="shared" si="45"/>
        <v>5.3610276695560266</v>
      </c>
      <c r="G76" s="7">
        <f t="shared" si="46"/>
        <v>20.618647569070536</v>
      </c>
      <c r="H76" s="7">
        <f t="shared" si="47"/>
        <v>1.101624158884545</v>
      </c>
      <c r="I76" s="7">
        <f t="shared" si="48"/>
        <v>23.609213413055361</v>
      </c>
      <c r="J76" s="7">
        <f t="shared" si="49"/>
        <v>2.6675070310861727E-2</v>
      </c>
      <c r="K76" s="7">
        <f t="shared" si="50"/>
        <v>20.655638659990469</v>
      </c>
      <c r="L76" s="11">
        <v>11.7</v>
      </c>
      <c r="M76" s="7">
        <f t="shared" si="51"/>
        <v>-0.76543920170858726</v>
      </c>
      <c r="O76">
        <f t="shared" si="52"/>
        <v>0.90659340659340659</v>
      </c>
      <c r="P76">
        <f t="shared" si="53"/>
        <v>9.1276098901098897E-4</v>
      </c>
      <c r="Q76">
        <f t="shared" si="54"/>
        <v>907.23791208791204</v>
      </c>
      <c r="R76">
        <f t="shared" si="55"/>
        <v>1.5086562571268256</v>
      </c>
      <c r="S76">
        <f t="shared" si="40"/>
        <v>2.2760437021679225</v>
      </c>
      <c r="T76" s="11">
        <v>11.7</v>
      </c>
    </row>
    <row r="77" spans="1:20">
      <c r="A77" s="2">
        <v>9</v>
      </c>
      <c r="B77" s="6">
        <f t="shared" si="41"/>
        <v>0.43104464489337874</v>
      </c>
      <c r="C77" s="6">
        <f t="shared" si="42"/>
        <v>1.0776116122334469</v>
      </c>
      <c r="D77" s="3">
        <f t="shared" si="43"/>
        <v>271.92759312130869</v>
      </c>
      <c r="E77" s="3">
        <f t="shared" si="44"/>
        <v>1715.6005766900648</v>
      </c>
      <c r="F77" s="7">
        <f t="shared" si="45"/>
        <v>16.39843757746549</v>
      </c>
      <c r="G77" s="7">
        <f t="shared" si="46"/>
        <v>16.244995054419213</v>
      </c>
      <c r="H77" s="7">
        <f t="shared" si="47"/>
        <v>1.1934208260028201</v>
      </c>
      <c r="I77" s="7">
        <f t="shared" si="48"/>
        <v>11.982129550769704</v>
      </c>
      <c r="J77" s="7">
        <f t="shared" si="49"/>
        <v>2.6757972547435019E-2</v>
      </c>
      <c r="K77" s="7">
        <f t="shared" si="50"/>
        <v>16.358144273703722</v>
      </c>
      <c r="L77" s="11">
        <v>40.04</v>
      </c>
      <c r="M77" s="7">
        <f t="shared" si="51"/>
        <v>0.59145493821918771</v>
      </c>
      <c r="O77">
        <f t="shared" si="52"/>
        <v>0.7142857142857143</v>
      </c>
      <c r="P77">
        <f t="shared" si="53"/>
        <v>7.2285714285714293E-4</v>
      </c>
      <c r="Q77">
        <f t="shared" si="54"/>
        <v>716.25714285714287</v>
      </c>
      <c r="R77">
        <f t="shared" si="55"/>
        <v>1.5086562571268256</v>
      </c>
      <c r="S77">
        <f t="shared" si="40"/>
        <v>2.2760437021679225</v>
      </c>
      <c r="T77" s="11">
        <v>40.04</v>
      </c>
    </row>
    <row r="78" spans="1:20">
      <c r="A78" s="4">
        <v>10</v>
      </c>
      <c r="B78" s="8">
        <f t="shared" si="41"/>
        <v>0.49735920564620623</v>
      </c>
      <c r="C78" s="8">
        <f t="shared" si="42"/>
        <v>1.0776116122334469</v>
      </c>
      <c r="D78" s="9">
        <f t="shared" si="43"/>
        <v>313.76260744766387</v>
      </c>
      <c r="E78" s="9">
        <f t="shared" si="44"/>
        <v>1715.6005766900648</v>
      </c>
      <c r="F78" s="10">
        <f t="shared" si="45"/>
        <v>18.921274127844796</v>
      </c>
      <c r="G78" s="10">
        <f t="shared" si="46"/>
        <v>16.244995054419213</v>
      </c>
      <c r="H78" s="10">
        <f t="shared" si="47"/>
        <v>1.2067626342753253</v>
      </c>
      <c r="I78" s="10">
        <f t="shared" si="48"/>
        <v>11.154755552165696</v>
      </c>
      <c r="J78" s="10">
        <f t="shared" si="49"/>
        <v>2.5647736276502447E-2</v>
      </c>
      <c r="K78" s="10">
        <f t="shared" si="50"/>
        <v>16.375551845901338</v>
      </c>
      <c r="L78" s="4">
        <v>44.08</v>
      </c>
      <c r="M78" s="10">
        <f t="shared" si="51"/>
        <v>0.62850381474815475</v>
      </c>
      <c r="O78">
        <f t="shared" si="52"/>
        <v>0.68421052631578949</v>
      </c>
      <c r="P78">
        <f t="shared" si="53"/>
        <v>6.9315789473684214E-4</v>
      </c>
      <c r="Q78">
        <f t="shared" si="54"/>
        <v>686.38947368421054</v>
      </c>
      <c r="R78">
        <f t="shared" si="55"/>
        <v>1.5749708178796531</v>
      </c>
      <c r="S78">
        <f t="shared" si="40"/>
        <v>2.4805330771725034</v>
      </c>
      <c r="T78" s="4">
        <v>44.08</v>
      </c>
    </row>
    <row r="80" spans="1:20">
      <c r="A80" s="1" t="s">
        <v>0</v>
      </c>
      <c r="B80" s="1" t="s">
        <v>23</v>
      </c>
      <c r="C80" s="1" t="s">
        <v>2</v>
      </c>
      <c r="D80" s="1" t="s">
        <v>3</v>
      </c>
      <c r="E80" s="1" t="s">
        <v>24</v>
      </c>
      <c r="F80" s="1" t="s">
        <v>25</v>
      </c>
      <c r="H80" s="1" t="s">
        <v>0</v>
      </c>
      <c r="I80" s="1" t="s">
        <v>23</v>
      </c>
      <c r="J80" s="1" t="s">
        <v>2</v>
      </c>
      <c r="K80" s="1" t="s">
        <v>3</v>
      </c>
      <c r="L80" s="1" t="s">
        <v>24</v>
      </c>
      <c r="M80" s="1" t="s">
        <v>25</v>
      </c>
    </row>
    <row r="81" spans="1:22">
      <c r="A81" s="2">
        <v>1</v>
      </c>
      <c r="B81" s="2">
        <f>15.45*2</f>
        <v>30.9</v>
      </c>
      <c r="C81" s="2">
        <v>25.8</v>
      </c>
      <c r="D81" s="3">
        <v>0</v>
      </c>
      <c r="E81" s="2">
        <v>0.16</v>
      </c>
      <c r="F81" s="2">
        <v>0.01</v>
      </c>
      <c r="H81" s="2">
        <v>1</v>
      </c>
      <c r="I81" s="2">
        <f>30.9</f>
        <v>30.9</v>
      </c>
      <c r="J81" s="2">
        <v>10</v>
      </c>
      <c r="K81" s="20">
        <v>51</v>
      </c>
      <c r="L81" s="2">
        <v>0.24</v>
      </c>
      <c r="M81" s="2">
        <v>0.06</v>
      </c>
    </row>
    <row r="82" spans="1:22">
      <c r="A82" s="2">
        <v>2</v>
      </c>
      <c r="B82" s="2">
        <f t="shared" ref="B82:B90" si="56">15.45*2</f>
        <v>30.9</v>
      </c>
      <c r="C82" s="2">
        <v>48.7</v>
      </c>
      <c r="D82" s="2">
        <v>0</v>
      </c>
      <c r="E82" s="2">
        <v>0.32</v>
      </c>
      <c r="F82" s="2">
        <v>0.01</v>
      </c>
      <c r="H82" s="2">
        <v>2</v>
      </c>
      <c r="I82" s="2">
        <f t="shared" ref="I82:I90" si="57">30.9</f>
        <v>30.9</v>
      </c>
      <c r="J82" s="2">
        <v>32</v>
      </c>
      <c r="K82" s="20">
        <v>50</v>
      </c>
      <c r="L82" s="2">
        <v>0.6</v>
      </c>
      <c r="M82" s="2">
        <v>0.1</v>
      </c>
    </row>
    <row r="83" spans="1:22">
      <c r="A83" s="2">
        <v>3</v>
      </c>
      <c r="B83" s="2">
        <f t="shared" si="56"/>
        <v>30.9</v>
      </c>
      <c r="C83" s="2">
        <v>68.099999999999994</v>
      </c>
      <c r="D83" s="2">
        <v>0</v>
      </c>
      <c r="E83" s="2">
        <v>0.52</v>
      </c>
      <c r="F83" s="2">
        <v>0.01</v>
      </c>
      <c r="H83" s="2">
        <v>3</v>
      </c>
      <c r="I83" s="2">
        <f t="shared" si="57"/>
        <v>30.9</v>
      </c>
      <c r="J83" s="2">
        <v>80</v>
      </c>
      <c r="K83" s="20">
        <v>52</v>
      </c>
      <c r="L83" s="2">
        <v>1.06</v>
      </c>
      <c r="M83" s="2">
        <v>0.1</v>
      </c>
    </row>
    <row r="84" spans="1:22">
      <c r="A84" s="2">
        <v>4</v>
      </c>
      <c r="B84" s="2">
        <f t="shared" si="56"/>
        <v>30.9</v>
      </c>
      <c r="C84" s="2">
        <v>83.1</v>
      </c>
      <c r="D84" s="2">
        <v>0</v>
      </c>
      <c r="E84" s="11">
        <v>0.7</v>
      </c>
      <c r="F84" s="2">
        <v>0.01</v>
      </c>
      <c r="H84" s="2">
        <v>4</v>
      </c>
      <c r="I84" s="2">
        <f t="shared" si="57"/>
        <v>30.9</v>
      </c>
      <c r="J84" s="2">
        <v>110</v>
      </c>
      <c r="K84" s="20">
        <v>50</v>
      </c>
      <c r="L84" s="11">
        <v>1.54</v>
      </c>
      <c r="M84" s="2">
        <v>0.11</v>
      </c>
    </row>
    <row r="85" spans="1:22">
      <c r="A85" s="2">
        <v>5</v>
      </c>
      <c r="B85" s="2">
        <f t="shared" si="56"/>
        <v>30.9</v>
      </c>
      <c r="C85" s="2">
        <v>97.8</v>
      </c>
      <c r="D85" s="2">
        <v>0</v>
      </c>
      <c r="E85" s="11">
        <v>0.9</v>
      </c>
      <c r="F85" s="2">
        <v>0.01</v>
      </c>
      <c r="H85" s="2">
        <v>5</v>
      </c>
      <c r="I85" s="2">
        <f t="shared" si="57"/>
        <v>30.9</v>
      </c>
      <c r="J85" s="2">
        <v>140</v>
      </c>
      <c r="K85" s="20">
        <v>53</v>
      </c>
      <c r="L85" s="11">
        <v>2.19</v>
      </c>
      <c r="M85" s="11">
        <v>0.13</v>
      </c>
    </row>
    <row r="86" spans="1:22">
      <c r="A86" s="2">
        <v>6</v>
      </c>
      <c r="B86" s="2">
        <f t="shared" si="56"/>
        <v>30.9</v>
      </c>
      <c r="C86" s="2">
        <v>125.9</v>
      </c>
      <c r="D86" s="2">
        <v>0</v>
      </c>
      <c r="E86" s="2">
        <v>1.31</v>
      </c>
      <c r="F86" s="2">
        <v>0.02</v>
      </c>
      <c r="H86" s="2">
        <v>6</v>
      </c>
      <c r="I86" s="2">
        <f t="shared" si="57"/>
        <v>30.9</v>
      </c>
      <c r="J86" s="20">
        <v>170</v>
      </c>
      <c r="K86" s="20">
        <v>51</v>
      </c>
      <c r="L86" s="2">
        <v>2.84</v>
      </c>
      <c r="M86" s="2">
        <v>0.15</v>
      </c>
    </row>
    <row r="87" spans="1:22">
      <c r="A87" s="2">
        <v>7</v>
      </c>
      <c r="B87" s="2">
        <f t="shared" si="56"/>
        <v>30.9</v>
      </c>
      <c r="C87" s="2">
        <v>153.9</v>
      </c>
      <c r="D87" s="2">
        <v>0</v>
      </c>
      <c r="E87" s="2">
        <v>1.87</v>
      </c>
      <c r="F87" s="2">
        <v>0.02</v>
      </c>
      <c r="H87" s="2">
        <v>7</v>
      </c>
      <c r="I87" s="2">
        <f t="shared" si="57"/>
        <v>30.9</v>
      </c>
      <c r="J87" s="20">
        <v>200</v>
      </c>
      <c r="K87" s="20">
        <v>40</v>
      </c>
      <c r="L87" s="2">
        <v>3.36</v>
      </c>
      <c r="M87" s="2">
        <v>0.16</v>
      </c>
    </row>
    <row r="88" spans="1:22">
      <c r="A88" s="2">
        <v>8</v>
      </c>
      <c r="B88" s="2">
        <f t="shared" si="56"/>
        <v>30.9</v>
      </c>
      <c r="C88" s="2">
        <v>182.2</v>
      </c>
      <c r="D88" s="2">
        <v>0</v>
      </c>
      <c r="E88" s="11">
        <v>2.5</v>
      </c>
      <c r="F88" s="2">
        <v>0.02</v>
      </c>
      <c r="H88" s="2">
        <v>8</v>
      </c>
      <c r="I88" s="2">
        <f t="shared" si="57"/>
        <v>30.9</v>
      </c>
      <c r="J88" s="20">
        <v>200</v>
      </c>
      <c r="K88" s="20">
        <v>31</v>
      </c>
      <c r="L88" s="11">
        <v>3.18</v>
      </c>
      <c r="M88" s="11">
        <v>0.15</v>
      </c>
    </row>
    <row r="89" spans="1:22">
      <c r="A89" s="2">
        <v>9</v>
      </c>
      <c r="B89" s="2">
        <f t="shared" si="56"/>
        <v>30.9</v>
      </c>
      <c r="C89" s="2">
        <v>211.5</v>
      </c>
      <c r="D89" s="2">
        <v>0</v>
      </c>
      <c r="E89" s="11">
        <v>3.24</v>
      </c>
      <c r="F89" s="2">
        <v>0.02</v>
      </c>
      <c r="H89" s="2">
        <v>9</v>
      </c>
      <c r="I89" s="2">
        <f t="shared" si="57"/>
        <v>30.9</v>
      </c>
      <c r="J89" s="20">
        <v>200</v>
      </c>
      <c r="K89" s="20">
        <v>21</v>
      </c>
      <c r="L89" s="11">
        <v>3</v>
      </c>
      <c r="M89" s="2">
        <v>0.14000000000000001</v>
      </c>
    </row>
    <row r="90" spans="1:22">
      <c r="A90" s="4">
        <v>10</v>
      </c>
      <c r="B90" s="2">
        <f t="shared" si="56"/>
        <v>30.9</v>
      </c>
      <c r="C90" s="4">
        <v>251.4</v>
      </c>
      <c r="D90" s="4">
        <v>0</v>
      </c>
      <c r="E90" s="4">
        <v>3.34</v>
      </c>
      <c r="F90" s="4">
        <v>0.03</v>
      </c>
      <c r="H90" s="4">
        <v>10</v>
      </c>
      <c r="I90" s="2">
        <f t="shared" si="57"/>
        <v>30.9</v>
      </c>
      <c r="J90" s="4">
        <v>200</v>
      </c>
      <c r="K90" s="21">
        <v>10</v>
      </c>
      <c r="L90" s="4">
        <v>2.82</v>
      </c>
      <c r="M90" s="19">
        <v>0.13</v>
      </c>
    </row>
    <row r="92" spans="1:22" ht="16.5">
      <c r="A92" s="13" t="s">
        <v>0</v>
      </c>
      <c r="B92" s="13" t="s">
        <v>26</v>
      </c>
      <c r="C92" s="13" t="s">
        <v>27</v>
      </c>
      <c r="D92" s="13" t="s">
        <v>28</v>
      </c>
      <c r="E92" s="13" t="s">
        <v>29</v>
      </c>
      <c r="F92" s="13" t="s">
        <v>30</v>
      </c>
      <c r="G92" s="13" t="s">
        <v>31</v>
      </c>
      <c r="H92" s="13" t="s">
        <v>32</v>
      </c>
      <c r="I92" s="22"/>
      <c r="J92" s="6"/>
      <c r="K92" s="6"/>
    </row>
    <row r="93" spans="1:22">
      <c r="A93" s="2">
        <v>1</v>
      </c>
      <c r="B93" s="14">
        <f t="shared" ref="B93:B103" si="58">I2*1.6668*10^-8</f>
        <v>3.3336000000000002E-7</v>
      </c>
      <c r="C93" s="14">
        <f t="shared" ref="C93:C103" si="59">J2*1.6668*10^-8</f>
        <v>1.6668000000000001E-6</v>
      </c>
      <c r="D93" s="6">
        <v>1.12145115290817E-2</v>
      </c>
      <c r="E93" s="6">
        <v>1.12145115290817E-2</v>
      </c>
      <c r="F93" s="6">
        <f>(6.9*D93^2*1.2)/0.0808</f>
        <v>1.28878270539765E-2</v>
      </c>
      <c r="G93" s="6">
        <f>(1000*E93^2*1.2)/0.0728</f>
        <v>2.07305388191054</v>
      </c>
      <c r="H93" s="2" t="s">
        <v>33</v>
      </c>
      <c r="J93" s="6"/>
      <c r="K93" s="6"/>
      <c r="U93" s="6">
        <v>51.826347047763399</v>
      </c>
      <c r="V93" s="6">
        <v>0.32200000000000001</v>
      </c>
    </row>
    <row r="94" spans="1:22">
      <c r="A94" s="2">
        <v>2</v>
      </c>
      <c r="B94" s="14">
        <f t="shared" si="58"/>
        <v>3.3336000000000002E-7</v>
      </c>
      <c r="C94" s="14">
        <f t="shared" si="59"/>
        <v>1.6668000000000001E-7</v>
      </c>
      <c r="D94" s="6">
        <v>3.3643534587244998E-2</v>
      </c>
      <c r="E94" s="6">
        <v>1.12145115290817E-2</v>
      </c>
      <c r="F94" s="6">
        <f t="shared" ref="F94:F103" si="60">(6.9*D94^2*1.2)/0.0808</f>
        <v>0.11599044348578801</v>
      </c>
      <c r="G94" s="6">
        <f t="shared" ref="G94:G103" si="61">(1000*E94^2*1.2)/0.0728</f>
        <v>2.07305388191054</v>
      </c>
      <c r="H94" s="2" t="s">
        <v>33</v>
      </c>
      <c r="J94" s="6"/>
      <c r="K94" s="6"/>
      <c r="U94" s="6">
        <v>207.30538819105399</v>
      </c>
      <c r="V94" s="6">
        <v>1.2889999999999999</v>
      </c>
    </row>
    <row r="95" spans="1:22">
      <c r="A95" s="2">
        <v>3</v>
      </c>
      <c r="B95" s="14">
        <f t="shared" si="58"/>
        <v>3.3336000000000002E-7</v>
      </c>
      <c r="C95" s="14">
        <f t="shared" si="59"/>
        <v>4.1670000000000002E-7</v>
      </c>
      <c r="D95" s="6">
        <v>5.6072557645408402E-2</v>
      </c>
      <c r="E95" s="6">
        <v>1.12145115290817E-2</v>
      </c>
      <c r="F95" s="6">
        <f t="shared" si="60"/>
        <v>0.32219567634941199</v>
      </c>
      <c r="G95" s="6">
        <f t="shared" si="61"/>
        <v>2.07305388191054</v>
      </c>
      <c r="H95" s="2" t="s">
        <v>33</v>
      </c>
      <c r="J95" s="6"/>
      <c r="K95" s="6"/>
      <c r="U95" s="6">
        <v>207.30538819105399</v>
      </c>
      <c r="V95" s="6">
        <v>1.2999999999999999E-2</v>
      </c>
    </row>
    <row r="96" spans="1:22">
      <c r="A96" s="2">
        <v>4</v>
      </c>
      <c r="B96" s="14">
        <f t="shared" si="58"/>
        <v>3.3336000000000002E-7</v>
      </c>
      <c r="C96" s="14">
        <f t="shared" si="59"/>
        <v>7.1672399999999998E-7</v>
      </c>
      <c r="D96" s="6">
        <v>0.112145115290817</v>
      </c>
      <c r="E96" s="6">
        <v>1.12145115290817E-2</v>
      </c>
      <c r="F96" s="6">
        <f t="shared" si="60"/>
        <v>1.2887827053976499</v>
      </c>
      <c r="G96" s="6">
        <f t="shared" si="61"/>
        <v>2.07305388191054</v>
      </c>
      <c r="H96" s="2" t="s">
        <v>33</v>
      </c>
      <c r="J96" s="6"/>
      <c r="K96" s="6"/>
    </row>
    <row r="97" spans="1:17">
      <c r="A97" s="2">
        <v>5</v>
      </c>
      <c r="B97" s="14">
        <f t="shared" si="58"/>
        <v>3.3336000000000002E-7</v>
      </c>
      <c r="C97" s="14">
        <f t="shared" si="59"/>
        <v>1.0500840000000001E-6</v>
      </c>
      <c r="D97" s="6">
        <v>1.12145115290817E-2</v>
      </c>
      <c r="E97" s="6">
        <v>5.6072557645408402E-2</v>
      </c>
      <c r="F97" s="6">
        <f t="shared" si="60"/>
        <v>1.28878270539765E-2</v>
      </c>
      <c r="G97" s="6">
        <f t="shared" si="61"/>
        <v>51.826347047763399</v>
      </c>
      <c r="H97" s="2" t="s">
        <v>33</v>
      </c>
      <c r="J97" s="6">
        <v>0.112145115290817</v>
      </c>
      <c r="K97" s="6">
        <v>1.12145115290817E-2</v>
      </c>
      <c r="L97" s="6"/>
    </row>
    <row r="98" spans="1:17">
      <c r="A98" s="2">
        <v>6</v>
      </c>
      <c r="B98" s="14">
        <f t="shared" si="58"/>
        <v>8.3340000000000004E-7</v>
      </c>
      <c r="C98" s="14">
        <f t="shared" si="59"/>
        <v>1.6668000000000001E-6</v>
      </c>
      <c r="D98" s="6">
        <v>5.6072557645408402E-2</v>
      </c>
      <c r="E98" s="6">
        <v>5.6072557645408402E-2</v>
      </c>
      <c r="F98" s="6">
        <f t="shared" si="60"/>
        <v>0.32219567634941199</v>
      </c>
      <c r="G98" s="6">
        <f t="shared" si="61"/>
        <v>51.826347047763399</v>
      </c>
      <c r="H98" s="2" t="s">
        <v>33</v>
      </c>
      <c r="J98" s="6">
        <v>1.12145115290817E-2</v>
      </c>
      <c r="K98" s="6">
        <v>5.6072557645408402E-2</v>
      </c>
      <c r="L98" s="6"/>
    </row>
    <row r="99" spans="1:17">
      <c r="A99" s="2">
        <v>7</v>
      </c>
      <c r="B99" s="14">
        <f t="shared" si="58"/>
        <v>1.00008E-6</v>
      </c>
      <c r="C99" s="14">
        <f t="shared" si="59"/>
        <v>3.3336000000000002E-6</v>
      </c>
      <c r="D99" s="6">
        <v>0.112145115290817</v>
      </c>
      <c r="E99" s="6">
        <v>5.6072557645408402E-2</v>
      </c>
      <c r="F99" s="6">
        <f t="shared" si="60"/>
        <v>1.2887827053976499</v>
      </c>
      <c r="G99" s="6">
        <f t="shared" si="61"/>
        <v>51.826347047763399</v>
      </c>
      <c r="H99" s="2" t="s">
        <v>33</v>
      </c>
      <c r="J99" s="6">
        <v>5.6072557645408402E-2</v>
      </c>
      <c r="K99" s="6">
        <v>0.112145115290817</v>
      </c>
      <c r="L99" s="6"/>
    </row>
    <row r="100" spans="1:17">
      <c r="A100" s="2">
        <v>8</v>
      </c>
      <c r="B100" s="15">
        <f t="shared" si="58"/>
        <v>1.00008E-6</v>
      </c>
      <c r="C100" s="15">
        <f t="shared" si="59"/>
        <v>5.1670799999999995E-6</v>
      </c>
      <c r="D100" s="6">
        <v>1.12145115290817E-2</v>
      </c>
      <c r="E100" s="6">
        <v>0.112145115290817</v>
      </c>
      <c r="F100" s="6">
        <f t="shared" si="60"/>
        <v>1.28878270539765E-2</v>
      </c>
      <c r="G100" s="6">
        <f t="shared" si="61"/>
        <v>207.30538819105399</v>
      </c>
      <c r="H100" s="2" t="s">
        <v>34</v>
      </c>
    </row>
    <row r="101" spans="1:17">
      <c r="A101" s="2">
        <v>9</v>
      </c>
      <c r="B101" s="15">
        <f t="shared" si="58"/>
        <v>1.00008E-6</v>
      </c>
      <c r="C101" s="15">
        <f t="shared" si="59"/>
        <v>8.3340000000000002E-6</v>
      </c>
      <c r="D101" s="6">
        <v>2.2429023058163401E-2</v>
      </c>
      <c r="E101" s="6">
        <v>0.112145115290817</v>
      </c>
      <c r="F101" s="6">
        <f t="shared" si="60"/>
        <v>5.1551308215905998E-2</v>
      </c>
      <c r="G101" s="6">
        <f t="shared" si="61"/>
        <v>207.30538819105399</v>
      </c>
      <c r="H101" s="2" t="s">
        <v>34</v>
      </c>
    </row>
    <row r="102" spans="1:17">
      <c r="A102" s="2">
        <v>10</v>
      </c>
      <c r="B102" s="14">
        <f t="shared" si="58"/>
        <v>2.2501799999999999E-6</v>
      </c>
      <c r="C102" s="14">
        <f t="shared" si="59"/>
        <v>1.0000800000000001E-5</v>
      </c>
      <c r="D102" s="6">
        <v>5.6072557645408402E-2</v>
      </c>
      <c r="E102" s="6">
        <v>0.112145115290817</v>
      </c>
      <c r="F102" s="6">
        <f t="shared" si="60"/>
        <v>0.32219567634941199</v>
      </c>
      <c r="G102" s="6">
        <f t="shared" si="61"/>
        <v>207.30538819105399</v>
      </c>
      <c r="H102" s="2" t="s">
        <v>35</v>
      </c>
    </row>
    <row r="103" spans="1:17">
      <c r="A103" s="4">
        <v>11</v>
      </c>
      <c r="B103" s="16">
        <f t="shared" si="58"/>
        <v>2.16684E-6</v>
      </c>
      <c r="C103" s="16">
        <f t="shared" si="59"/>
        <v>1.6668E-5</v>
      </c>
      <c r="D103" s="8">
        <v>0.112145115290817</v>
      </c>
      <c r="E103" s="8">
        <v>0.112145115290817</v>
      </c>
      <c r="F103" s="8">
        <f t="shared" si="60"/>
        <v>1.2887827053976499</v>
      </c>
      <c r="G103" s="8">
        <f t="shared" si="61"/>
        <v>207.30538819105399</v>
      </c>
      <c r="H103" s="4" t="s">
        <v>35</v>
      </c>
    </row>
    <row r="104" spans="1:17">
      <c r="D104" s="17"/>
      <c r="E104" s="17"/>
    </row>
    <row r="105" spans="1:17" ht="16.5">
      <c r="A105" s="13" t="s">
        <v>0</v>
      </c>
      <c r="B105" s="13" t="s">
        <v>26</v>
      </c>
      <c r="C105" s="13" t="s">
        <v>27</v>
      </c>
      <c r="D105" s="13" t="s">
        <v>28</v>
      </c>
      <c r="E105" s="13" t="s">
        <v>29</v>
      </c>
      <c r="F105" s="13" t="s">
        <v>30</v>
      </c>
      <c r="G105" s="13" t="s">
        <v>31</v>
      </c>
      <c r="H105" s="13" t="s">
        <v>32</v>
      </c>
    </row>
    <row r="106" spans="1:17">
      <c r="A106" s="2">
        <v>1</v>
      </c>
      <c r="B106" s="14">
        <f>I43*1.6668*10^-8</f>
        <v>3.3336000000000002E-7</v>
      </c>
      <c r="C106" s="14">
        <f>J43*1.6668*10^-8</f>
        <v>2.5002000000000001E-7</v>
      </c>
      <c r="D106" s="6">
        <v>0.190654362164379</v>
      </c>
      <c r="E106" s="6">
        <v>0.198943682258482</v>
      </c>
      <c r="F106" s="6">
        <f>(6.9*D106^2*1.2)/0.0808</f>
        <v>3.7248815659145502</v>
      </c>
      <c r="G106" s="6">
        <f>(1000*E106^2*1.2)/0.0728</f>
        <v>652.39431940490203</v>
      </c>
      <c r="H106" s="2" t="s">
        <v>33</v>
      </c>
      <c r="K106" s="6">
        <v>0.198943682258482</v>
      </c>
      <c r="L106" s="6">
        <v>0.190654362164379</v>
      </c>
      <c r="P106">
        <v>12726.219744502599</v>
      </c>
      <c r="Q106">
        <v>0.345026836918361</v>
      </c>
    </row>
    <row r="107" spans="1:17">
      <c r="A107" s="2">
        <v>2</v>
      </c>
      <c r="B107" s="15">
        <f>I44*1.6668*10^-8</f>
        <v>3.3336000000000002E-7</v>
      </c>
      <c r="C107" s="15">
        <f t="shared" ref="C107:C115" si="62">J44*1.6668*10^-8</f>
        <v>8.3340000000000004E-7</v>
      </c>
      <c r="D107" s="6">
        <v>0.26525824301131001</v>
      </c>
      <c r="E107" s="6">
        <v>0.20723300235258599</v>
      </c>
      <c r="F107" s="6">
        <f t="shared" ref="F107:F115" si="63">(6.9*D107^2*1.2)/0.0808</f>
        <v>7.2103567551918699</v>
      </c>
      <c r="G107" s="6">
        <f t="shared" ref="G107:G115" si="64">(1000*E107^2*1.2)/0.0728</f>
        <v>707.89314171538797</v>
      </c>
      <c r="H107" s="2" t="s">
        <v>34</v>
      </c>
      <c r="K107" s="6">
        <v>0.20723300235258599</v>
      </c>
      <c r="L107" s="6">
        <v>0.26525824301131001</v>
      </c>
      <c r="P107">
        <v>24143.1203340883</v>
      </c>
      <c r="Q107">
        <v>2.81654560749682</v>
      </c>
    </row>
    <row r="108" spans="1:17">
      <c r="A108" s="2">
        <v>3</v>
      </c>
      <c r="B108" s="14">
        <f t="shared" ref="B108:B115" si="65">I45*1.6668*10^-8</f>
        <v>3.3336000000000002E-7</v>
      </c>
      <c r="C108" s="14">
        <f t="shared" si="62"/>
        <v>4.1670000000000002E-7</v>
      </c>
      <c r="D108" s="6">
        <v>0.41446600470517198</v>
      </c>
      <c r="E108" s="6">
        <v>0.21552232244668901</v>
      </c>
      <c r="F108" s="6">
        <f>(6.9*D108^2*1.2)/0.0808</f>
        <v>17.603410046855199</v>
      </c>
      <c r="G108" s="6">
        <f t="shared" si="64"/>
        <v>765.65722207936403</v>
      </c>
      <c r="H108" s="2" t="s">
        <v>33</v>
      </c>
      <c r="K108" s="6">
        <v>0.21552232244668901</v>
      </c>
      <c r="L108" s="6">
        <v>0.41446600470517198</v>
      </c>
    </row>
    <row r="109" spans="1:17">
      <c r="A109" s="2">
        <v>4</v>
      </c>
      <c r="B109" s="14">
        <f t="shared" si="65"/>
        <v>3.3336000000000002E-7</v>
      </c>
      <c r="C109" s="14">
        <f>J46*1.6668*10^-8</f>
        <v>6.3338400000000003E-7</v>
      </c>
      <c r="D109" s="6">
        <v>0.497359205646206</v>
      </c>
      <c r="E109" s="6">
        <v>0.21552232244668901</v>
      </c>
      <c r="F109" s="6">
        <f t="shared" si="63"/>
        <v>25.348910467471399</v>
      </c>
      <c r="G109" s="6">
        <f t="shared" si="64"/>
        <v>765.65722207936403</v>
      </c>
      <c r="H109" s="2" t="s">
        <v>33</v>
      </c>
      <c r="P109">
        <v>652.39431940490203</v>
      </c>
      <c r="Q109">
        <v>3.7248815659145502</v>
      </c>
    </row>
    <row r="110" spans="1:17">
      <c r="A110" s="2">
        <v>5</v>
      </c>
      <c r="B110" s="14">
        <f t="shared" si="65"/>
        <v>3.3336000000000002E-7</v>
      </c>
      <c r="C110" s="14">
        <f t="shared" si="62"/>
        <v>1.0334159999999999E-6</v>
      </c>
      <c r="D110" s="6">
        <v>8.2893200941034403E-2</v>
      </c>
      <c r="E110" s="6">
        <v>4.1446600470517202E-2</v>
      </c>
      <c r="F110" s="6">
        <f t="shared" si="63"/>
        <v>0.70413640187420601</v>
      </c>
      <c r="G110" s="6">
        <f t="shared" si="64"/>
        <v>28.315725668615499</v>
      </c>
      <c r="H110" s="2" t="s">
        <v>33</v>
      </c>
      <c r="L110" s="6">
        <v>5.8025240658724102E-2</v>
      </c>
      <c r="M110" s="6">
        <v>0.87866792997496401</v>
      </c>
      <c r="P110">
        <v>707.89314171538797</v>
      </c>
      <c r="Q110">
        <v>7.2103567551918699</v>
      </c>
    </row>
    <row r="111" spans="1:17">
      <c r="A111" s="2">
        <v>6</v>
      </c>
      <c r="B111" s="14">
        <f t="shared" si="65"/>
        <v>8.3340000000000004E-7</v>
      </c>
      <c r="C111" s="14">
        <f t="shared" si="62"/>
        <v>1.6668000000000001E-6</v>
      </c>
      <c r="D111" s="6">
        <v>0.15749708178796501</v>
      </c>
      <c r="E111" s="6">
        <v>4.1446600470517202E-2</v>
      </c>
      <c r="F111" s="6">
        <f t="shared" si="63"/>
        <v>2.5419324107658801</v>
      </c>
      <c r="G111" s="6">
        <f t="shared" si="64"/>
        <v>28.315725668615499</v>
      </c>
      <c r="H111" s="2" t="s">
        <v>33</v>
      </c>
      <c r="L111" s="8">
        <v>0.165786401882069</v>
      </c>
      <c r="M111" s="8">
        <v>1.2102407337390999</v>
      </c>
      <c r="P111">
        <v>765.65722207936403</v>
      </c>
      <c r="Q111">
        <v>17.6034100468551</v>
      </c>
    </row>
    <row r="112" spans="1:17">
      <c r="A112" s="2">
        <v>7</v>
      </c>
      <c r="B112" s="14">
        <f t="shared" si="65"/>
        <v>8.3340000000000004E-7</v>
      </c>
      <c r="C112" s="14">
        <f t="shared" si="62"/>
        <v>3.5002800000000005E-6</v>
      </c>
      <c r="D112" s="6">
        <v>0.331572803764138</v>
      </c>
      <c r="E112" s="6">
        <v>4.1446600470517202E-2</v>
      </c>
      <c r="F112" s="6">
        <f t="shared" si="63"/>
        <v>11.2661824299873</v>
      </c>
      <c r="G112" s="6">
        <f t="shared" si="64"/>
        <v>28.315725668615499</v>
      </c>
      <c r="H112" s="2" t="s">
        <v>33</v>
      </c>
    </row>
    <row r="113" spans="1:9">
      <c r="A113" s="2">
        <v>8</v>
      </c>
      <c r="B113" s="15">
        <f t="shared" si="65"/>
        <v>2.7502200000000001E-6</v>
      </c>
      <c r="C113" s="15">
        <f t="shared" si="62"/>
        <v>2.8335600000000001E-7</v>
      </c>
      <c r="D113" s="6">
        <v>0.39788736451696499</v>
      </c>
      <c r="E113" s="6">
        <v>4.1446600470517202E-2</v>
      </c>
      <c r="F113" s="6">
        <f t="shared" si="63"/>
        <v>16.223302699181701</v>
      </c>
      <c r="G113" s="6">
        <f t="shared" si="64"/>
        <v>28.315725668615499</v>
      </c>
      <c r="H113" s="2" t="s">
        <v>34</v>
      </c>
    </row>
    <row r="114" spans="1:9">
      <c r="A114" s="2">
        <v>9</v>
      </c>
      <c r="B114" s="15">
        <f t="shared" si="65"/>
        <v>2.16684E-6</v>
      </c>
      <c r="C114" s="15">
        <f t="shared" si="62"/>
        <v>8.6673600000000015E-7</v>
      </c>
      <c r="D114" s="6">
        <v>5.8025240658724102E-2</v>
      </c>
      <c r="E114" s="6">
        <v>0.87866792997496401</v>
      </c>
      <c r="F114" s="6">
        <f t="shared" si="63"/>
        <v>0.345026836918361</v>
      </c>
      <c r="G114" s="2">
        <f t="shared" si="64"/>
        <v>12726.219744502599</v>
      </c>
      <c r="H114" s="2" t="s">
        <v>34</v>
      </c>
    </row>
    <row r="115" spans="1:9">
      <c r="A115" s="4">
        <v>10</v>
      </c>
      <c r="B115" s="16">
        <f t="shared" si="65"/>
        <v>2.16684E-6</v>
      </c>
      <c r="C115" s="16">
        <f t="shared" si="62"/>
        <v>1.00008E-6</v>
      </c>
      <c r="D115" s="8">
        <v>0.165786401882069</v>
      </c>
      <c r="E115" s="8">
        <v>1.2102407337390999</v>
      </c>
      <c r="F115" s="8">
        <f t="shared" si="63"/>
        <v>2.81654560749682</v>
      </c>
      <c r="G115" s="4">
        <f t="shared" si="64"/>
        <v>24143.1203340883</v>
      </c>
      <c r="H115" s="4" t="s">
        <v>35</v>
      </c>
    </row>
    <row r="117" spans="1:9" ht="16.5">
      <c r="A117" s="1" t="s">
        <v>0</v>
      </c>
      <c r="B117" s="1" t="s">
        <v>36</v>
      </c>
      <c r="C117" s="1" t="s">
        <v>37</v>
      </c>
      <c r="D117" s="1" t="s">
        <v>38</v>
      </c>
      <c r="E117" s="18" t="s">
        <v>39</v>
      </c>
      <c r="F117" s="1" t="s">
        <v>40</v>
      </c>
      <c r="G117" s="1" t="s">
        <v>41</v>
      </c>
      <c r="H117" s="1" t="s">
        <v>42</v>
      </c>
      <c r="I117" s="1" t="s">
        <v>43</v>
      </c>
    </row>
    <row r="118" spans="1:9">
      <c r="A118" s="2">
        <v>1</v>
      </c>
      <c r="B118" s="2">
        <v>1.0999999999999999E-2</v>
      </c>
      <c r="C118" s="2">
        <v>5.6000000000000001E-2</v>
      </c>
      <c r="D118" s="2">
        <v>0.12</v>
      </c>
      <c r="E118" s="11">
        <f>D118/(B118+C118)</f>
        <v>1.7910447761193999</v>
      </c>
      <c r="F118" s="2">
        <v>8.9999999999999993E-3</v>
      </c>
      <c r="G118" s="2">
        <v>8.9999999999999993E-3</v>
      </c>
      <c r="H118" s="2">
        <v>4.3499999999999997E-3</v>
      </c>
      <c r="I118" s="11">
        <f>(SQRT(1/E118)*(F118/H118))/((H118/4)*((F118/H118+G118/H118)))</f>
        <v>343.54807312582199</v>
      </c>
    </row>
    <row r="119" spans="1:9">
      <c r="A119" s="2">
        <v>2</v>
      </c>
      <c r="B119" s="2">
        <v>1.0999999999999999E-2</v>
      </c>
      <c r="C119" s="2">
        <v>5.6000000000000001E-2</v>
      </c>
      <c r="D119" s="2">
        <v>0.08</v>
      </c>
      <c r="E119" s="11">
        <f t="shared" ref="E119:E127" si="66">D119/(B119+C119)</f>
        <v>1.1940298507462701</v>
      </c>
      <c r="F119" s="2">
        <v>3.0000000000000001E-3</v>
      </c>
      <c r="G119" s="2">
        <v>1.4E-2</v>
      </c>
      <c r="H119" s="2">
        <v>4.3499999999999997E-3</v>
      </c>
      <c r="I119" s="11">
        <f t="shared" ref="I119:I127" si="67">(SQRT(1/E119)*(F119/H119))/((H119/4)*((F119/H119+G119/H119)))</f>
        <v>148.50308493081599</v>
      </c>
    </row>
    <row r="120" spans="1:9">
      <c r="A120" s="2">
        <v>3</v>
      </c>
      <c r="B120" s="2">
        <v>1.0999999999999999E-2</v>
      </c>
      <c r="C120" s="2">
        <v>5.6000000000000001E-2</v>
      </c>
      <c r="D120" s="2">
        <v>0.11</v>
      </c>
      <c r="E120" s="11">
        <f t="shared" si="66"/>
        <v>1.6417910447761199</v>
      </c>
      <c r="F120" s="2">
        <v>5.0000000000000001E-3</v>
      </c>
      <c r="G120" s="2">
        <v>1.2999999999999999E-2</v>
      </c>
      <c r="H120" s="2">
        <v>4.3499999999999997E-3</v>
      </c>
      <c r="I120" s="11">
        <f t="shared" si="67"/>
        <v>199.346810926133</v>
      </c>
    </row>
    <row r="121" spans="1:9">
      <c r="A121" s="2">
        <v>4</v>
      </c>
      <c r="B121" s="2">
        <v>1.0999999999999999E-2</v>
      </c>
      <c r="C121" s="2">
        <v>5.6000000000000001E-2</v>
      </c>
      <c r="D121" s="2">
        <v>0.13</v>
      </c>
      <c r="E121" s="11">
        <f t="shared" si="66"/>
        <v>1.9402985074626899</v>
      </c>
      <c r="F121" s="2">
        <v>7.0000000000000001E-3</v>
      </c>
      <c r="G121" s="2">
        <v>8.0000000000000002E-3</v>
      </c>
      <c r="H121" s="2">
        <v>4.3499999999999997E-3</v>
      </c>
      <c r="I121" s="11">
        <f t="shared" si="67"/>
        <v>308.065624680425</v>
      </c>
    </row>
    <row r="122" spans="1:9">
      <c r="A122" s="2">
        <v>5</v>
      </c>
      <c r="B122" s="2">
        <v>1.0999999999999999E-2</v>
      </c>
      <c r="C122" s="2">
        <v>5.6000000000000001E-2</v>
      </c>
      <c r="D122" s="2">
        <v>7.0000000000000007E-2</v>
      </c>
      <c r="E122" s="11">
        <f t="shared" si="66"/>
        <v>1.0447761194029901</v>
      </c>
      <c r="F122" s="2">
        <v>3.0000000000000001E-3</v>
      </c>
      <c r="G122" s="2">
        <v>1.2999999999999999E-2</v>
      </c>
      <c r="H122" s="2">
        <v>4.3499999999999997E-3</v>
      </c>
      <c r="I122" s="11">
        <f t="shared" si="67"/>
        <v>168.67875535235399</v>
      </c>
    </row>
    <row r="123" spans="1:9">
      <c r="A123" s="2">
        <v>6</v>
      </c>
      <c r="B123" s="2">
        <v>1.0999999999999999E-2</v>
      </c>
      <c r="C123" s="2">
        <v>5.6000000000000001E-2</v>
      </c>
      <c r="D123" s="2">
        <v>0.15</v>
      </c>
      <c r="E123" s="11">
        <f t="shared" si="66"/>
        <v>2.23880597014925</v>
      </c>
      <c r="F123" s="2">
        <v>3.0000000000000001E-3</v>
      </c>
      <c r="G123" s="2">
        <v>6.0000000000000001E-3</v>
      </c>
      <c r="H123" s="2">
        <v>4.3499999999999997E-3</v>
      </c>
      <c r="I123" s="11">
        <f t="shared" si="67"/>
        <v>204.85249201290901</v>
      </c>
    </row>
    <row r="124" spans="1:9">
      <c r="A124" s="2">
        <v>7</v>
      </c>
      <c r="B124" s="2">
        <v>1.0999999999999999E-2</v>
      </c>
      <c r="C124" s="2">
        <v>5.6000000000000001E-2</v>
      </c>
      <c r="D124" s="2">
        <v>0.17</v>
      </c>
      <c r="E124" s="11">
        <f t="shared" si="66"/>
        <v>2.5373134328358198</v>
      </c>
      <c r="F124" s="2">
        <v>6.0000000000000001E-3</v>
      </c>
      <c r="G124" s="2">
        <v>8.9999999999999993E-3</v>
      </c>
      <c r="H124" s="2">
        <v>4.3499999999999997E-3</v>
      </c>
      <c r="I124" s="11">
        <f t="shared" si="67"/>
        <v>230.91049185805801</v>
      </c>
    </row>
    <row r="125" spans="1:9">
      <c r="A125" s="2">
        <v>8</v>
      </c>
      <c r="B125" s="2">
        <v>1.0999999999999999E-2</v>
      </c>
      <c r="C125" s="2">
        <v>5.6000000000000001E-2</v>
      </c>
      <c r="D125" s="2">
        <v>0.12</v>
      </c>
      <c r="E125" s="11">
        <f t="shared" si="66"/>
        <v>1.7910447761193999</v>
      </c>
      <c r="F125" s="2">
        <v>5.0000000000000001E-3</v>
      </c>
      <c r="G125" s="2">
        <v>1.2E-2</v>
      </c>
      <c r="H125" s="2">
        <v>4.3499999999999997E-3</v>
      </c>
      <c r="I125" s="11">
        <f t="shared" si="67"/>
        <v>202.08710183871901</v>
      </c>
    </row>
    <row r="126" spans="1:9">
      <c r="A126" s="2">
        <v>9</v>
      </c>
      <c r="B126" s="2">
        <v>1.0999999999999999E-2</v>
      </c>
      <c r="C126" s="2">
        <v>5.6000000000000001E-2</v>
      </c>
      <c r="D126" s="2">
        <v>0.11</v>
      </c>
      <c r="E126" s="11">
        <f t="shared" si="66"/>
        <v>1.6417910447761199</v>
      </c>
      <c r="F126" s="2">
        <v>7.0000000000000001E-3</v>
      </c>
      <c r="G126" s="2">
        <v>8.9999999999999993E-3</v>
      </c>
      <c r="H126" s="2">
        <v>4.3499999999999997E-3</v>
      </c>
      <c r="I126" s="11">
        <f t="shared" si="67"/>
        <v>313.971227208659</v>
      </c>
    </row>
    <row r="127" spans="1:9">
      <c r="A127" s="2">
        <v>10</v>
      </c>
      <c r="B127" s="2">
        <v>1.0999999999999999E-2</v>
      </c>
      <c r="C127" s="2">
        <v>5.6000000000000001E-2</v>
      </c>
      <c r="D127" s="2">
        <v>0.11</v>
      </c>
      <c r="E127" s="11">
        <f t="shared" si="66"/>
        <v>1.6417910447761199</v>
      </c>
      <c r="F127" s="2">
        <v>8.9999999999999993E-3</v>
      </c>
      <c r="G127" s="2">
        <v>1.0999999999999999E-2</v>
      </c>
      <c r="H127" s="2">
        <v>4.3499999999999997E-3</v>
      </c>
      <c r="I127" s="11">
        <f t="shared" si="67"/>
        <v>322.941833700335</v>
      </c>
    </row>
    <row r="128" spans="1:9">
      <c r="A128" s="4" t="s">
        <v>44</v>
      </c>
      <c r="B128" s="4">
        <v>1.0999999999999999E-2</v>
      </c>
      <c r="C128" s="4">
        <v>5.6000000000000001E-2</v>
      </c>
      <c r="D128" s="19">
        <f>AVERAGE(D118:D127)</f>
        <v>0.11700000000000001</v>
      </c>
      <c r="E128" s="19">
        <f>AVERAGE(E118:E127)</f>
        <v>1.7462686567164201</v>
      </c>
      <c r="F128" s="8">
        <f>AVERAGE(F118:F127)</f>
        <v>5.7000000000000002E-3</v>
      </c>
      <c r="G128" s="8">
        <f>AVERAGE(G118:G127)</f>
        <v>1.04E-2</v>
      </c>
      <c r="H128" s="4">
        <v>4.3499999999999997E-3</v>
      </c>
      <c r="I128" s="19">
        <f>AVERAGE(I118:I127)</f>
        <v>244.29054956342301</v>
      </c>
    </row>
    <row r="130" spans="1:9" ht="16.5">
      <c r="A130" s="1" t="s">
        <v>0</v>
      </c>
      <c r="B130" s="1" t="s">
        <v>45</v>
      </c>
      <c r="C130" s="1" t="s">
        <v>46</v>
      </c>
      <c r="D130" s="1" t="s">
        <v>38</v>
      </c>
      <c r="E130" s="18" t="s">
        <v>39</v>
      </c>
      <c r="F130" s="1" t="s">
        <v>40</v>
      </c>
      <c r="G130" s="1" t="s">
        <v>41</v>
      </c>
      <c r="H130" s="1" t="s">
        <v>42</v>
      </c>
      <c r="I130" s="1" t="s">
        <v>43</v>
      </c>
    </row>
    <row r="131" spans="1:9">
      <c r="A131" s="2">
        <v>1</v>
      </c>
      <c r="B131" s="6">
        <v>0.41446600470517198</v>
      </c>
      <c r="C131" s="6">
        <v>0.21552232244668901</v>
      </c>
      <c r="D131" s="2">
        <v>0.83</v>
      </c>
      <c r="E131" s="11">
        <f>D131/(B131+C131)</f>
        <v>1.3174847282526301</v>
      </c>
      <c r="F131" s="2">
        <v>2.3E-2</v>
      </c>
      <c r="G131" s="2">
        <v>1.0999999999999999E-2</v>
      </c>
      <c r="H131" s="2">
        <v>1.6000000000000001E-3</v>
      </c>
      <c r="I131" s="11">
        <f>(SQRT(1/E131)*(F131/H131))/((H131/4)*((F131/H131+G131/H131)))</f>
        <v>1473.3846221558599</v>
      </c>
    </row>
    <row r="132" spans="1:9">
      <c r="A132" s="2">
        <v>2</v>
      </c>
      <c r="B132" s="6">
        <v>0.41446600470517198</v>
      </c>
      <c r="C132" s="6">
        <v>0.21552232244668901</v>
      </c>
      <c r="D132" s="2">
        <v>0.79</v>
      </c>
      <c r="E132" s="11">
        <f t="shared" ref="E132:E140" si="68">D132/(B132+C132)</f>
        <v>1.2539914883368399</v>
      </c>
      <c r="F132" s="2">
        <v>3.1E-2</v>
      </c>
      <c r="G132" s="2">
        <v>7.0000000000000001E-3</v>
      </c>
      <c r="H132" s="2">
        <v>1.6000000000000001E-3</v>
      </c>
      <c r="I132" s="11">
        <f t="shared" ref="I132:I140" si="69">(SQRT(1/E132)*(F132/H132))/((H132/4)*((F132/H132+G132/H132)))</f>
        <v>1821.25522848274</v>
      </c>
    </row>
    <row r="133" spans="1:9">
      <c r="A133" s="2">
        <v>3</v>
      </c>
      <c r="B133" s="6">
        <v>0.41446600470517198</v>
      </c>
      <c r="C133" s="6">
        <v>0.21552232244668901</v>
      </c>
      <c r="D133" s="2">
        <v>0.69</v>
      </c>
      <c r="E133" s="11">
        <f t="shared" si="68"/>
        <v>1.0952583885473699</v>
      </c>
      <c r="F133" s="2">
        <v>2.5000000000000001E-2</v>
      </c>
      <c r="G133" s="2">
        <v>1.2999999999999999E-2</v>
      </c>
      <c r="H133" s="2">
        <v>1.6000000000000001E-3</v>
      </c>
      <c r="I133" s="11">
        <f t="shared" si="69"/>
        <v>1571.58591060617</v>
      </c>
    </row>
    <row r="134" spans="1:9">
      <c r="A134" s="2">
        <v>4</v>
      </c>
      <c r="B134" s="6">
        <v>0.41446600470517198</v>
      </c>
      <c r="C134" s="6">
        <v>0.21552232244668901</v>
      </c>
      <c r="D134" s="2">
        <v>0.77</v>
      </c>
      <c r="E134" s="11">
        <f t="shared" si="68"/>
        <v>1.22224486837895</v>
      </c>
      <c r="F134" s="2">
        <v>1.7000000000000001E-2</v>
      </c>
      <c r="G134" s="2">
        <v>8.9999999999999993E-3</v>
      </c>
      <c r="H134" s="2">
        <v>1.6000000000000001E-3</v>
      </c>
      <c r="I134" s="11">
        <f t="shared" si="69"/>
        <v>1478.5515497125</v>
      </c>
    </row>
    <row r="135" spans="1:9">
      <c r="A135" s="2">
        <v>5</v>
      </c>
      <c r="B135" s="6">
        <v>0.41446600470517198</v>
      </c>
      <c r="C135" s="6">
        <v>0.21552232244668901</v>
      </c>
      <c r="D135" s="2">
        <v>0.82</v>
      </c>
      <c r="E135" s="11">
        <f t="shared" si="68"/>
        <v>1.30161141827368</v>
      </c>
      <c r="F135" s="2">
        <v>2.1000000000000001E-2</v>
      </c>
      <c r="G135" s="2">
        <v>1.0999999999999999E-2</v>
      </c>
      <c r="H135" s="2">
        <v>1.6000000000000001E-3</v>
      </c>
      <c r="I135" s="11">
        <f t="shared" si="69"/>
        <v>1438.03233064655</v>
      </c>
    </row>
    <row r="136" spans="1:9">
      <c r="A136" s="2">
        <v>6</v>
      </c>
      <c r="B136" s="6">
        <v>0.41446600470517198</v>
      </c>
      <c r="C136" s="6">
        <v>0.21552232244668901</v>
      </c>
      <c r="D136" s="2">
        <v>0.67</v>
      </c>
      <c r="E136" s="11">
        <f t="shared" si="68"/>
        <v>1.0635117685894699</v>
      </c>
      <c r="F136" s="2">
        <v>1.2999999999999999E-2</v>
      </c>
      <c r="G136" s="2">
        <v>6.0000000000000001E-3</v>
      </c>
      <c r="H136" s="2">
        <v>1.6000000000000001E-3</v>
      </c>
      <c r="I136" s="11">
        <f t="shared" si="69"/>
        <v>1658.66473042285</v>
      </c>
    </row>
    <row r="137" spans="1:9">
      <c r="A137" s="2">
        <v>7</v>
      </c>
      <c r="B137" s="6">
        <v>0.41446600470517198</v>
      </c>
      <c r="C137" s="6">
        <v>0.21552232244668901</v>
      </c>
      <c r="D137" s="2">
        <v>0.98</v>
      </c>
      <c r="E137" s="11">
        <f t="shared" si="68"/>
        <v>1.5555843779368399</v>
      </c>
      <c r="F137" s="2">
        <v>6.0000000000000001E-3</v>
      </c>
      <c r="G137" s="2">
        <v>7.0000000000000001E-3</v>
      </c>
      <c r="H137" s="2">
        <v>1.6000000000000001E-3</v>
      </c>
      <c r="I137" s="11">
        <f t="shared" si="69"/>
        <v>925.12649751459799</v>
      </c>
    </row>
    <row r="138" spans="1:9">
      <c r="A138" s="2">
        <v>8</v>
      </c>
      <c r="B138" s="6">
        <v>0.41446600470517198</v>
      </c>
      <c r="C138" s="6">
        <v>0.21552232244668901</v>
      </c>
      <c r="D138" s="2">
        <v>0.76</v>
      </c>
      <c r="E138" s="11">
        <f t="shared" si="68"/>
        <v>1.2063715584000001</v>
      </c>
      <c r="F138" s="2">
        <v>2.7E-2</v>
      </c>
      <c r="G138" s="2">
        <v>1.7999999999999999E-2</v>
      </c>
      <c r="H138" s="2">
        <v>1.6000000000000001E-3</v>
      </c>
      <c r="I138" s="11">
        <f t="shared" si="69"/>
        <v>1365.68554988814</v>
      </c>
    </row>
    <row r="139" spans="1:9">
      <c r="A139" s="2">
        <v>9</v>
      </c>
      <c r="B139" s="6">
        <v>0.41446600470517198</v>
      </c>
      <c r="C139" s="6">
        <v>0.21552232244668901</v>
      </c>
      <c r="D139" s="2">
        <v>0.83</v>
      </c>
      <c r="E139" s="11">
        <f t="shared" si="68"/>
        <v>1.3174847282526301</v>
      </c>
      <c r="F139" s="2">
        <v>1.4999999999999999E-2</v>
      </c>
      <c r="G139" s="2">
        <v>8.9999999999999993E-3</v>
      </c>
      <c r="H139" s="2">
        <v>1.6000000000000001E-3</v>
      </c>
      <c r="I139" s="11">
        <f t="shared" si="69"/>
        <v>1361.2792704700801</v>
      </c>
    </row>
    <row r="140" spans="1:9">
      <c r="A140" s="2">
        <v>10</v>
      </c>
      <c r="B140" s="6">
        <v>0.41446600470517198</v>
      </c>
      <c r="C140" s="6">
        <v>0.21552232244668901</v>
      </c>
      <c r="D140" s="2">
        <v>0.76</v>
      </c>
      <c r="E140" s="11">
        <f t="shared" si="68"/>
        <v>1.2063715584000001</v>
      </c>
      <c r="F140" s="2">
        <v>8.9999999999999993E-3</v>
      </c>
      <c r="G140" s="2">
        <v>1.2E-2</v>
      </c>
      <c r="H140" s="2">
        <v>1.6000000000000001E-3</v>
      </c>
      <c r="I140" s="11">
        <f t="shared" si="69"/>
        <v>975.48967849152905</v>
      </c>
    </row>
    <row r="141" spans="1:9">
      <c r="A141" s="4" t="s">
        <v>44</v>
      </c>
      <c r="B141" s="8">
        <v>0.41446600470517198</v>
      </c>
      <c r="C141" s="8">
        <v>0.21552232244668901</v>
      </c>
      <c r="D141" s="19">
        <f>AVERAGE(D131:D140)</f>
        <v>0.79</v>
      </c>
      <c r="E141" s="19">
        <f>AVERAGE(E131:E140)</f>
        <v>1.2539914883368399</v>
      </c>
      <c r="F141" s="8">
        <f>AVERAGE(F131:F140)</f>
        <v>1.8700000000000001E-2</v>
      </c>
      <c r="G141" s="8">
        <f>AVERAGE(G131:G140)</f>
        <v>1.03E-2</v>
      </c>
      <c r="H141" s="4">
        <v>1.6000000000000001E-3</v>
      </c>
      <c r="I141" s="19">
        <f>AVERAGE(I131:I140)</f>
        <v>1406.9055368391</v>
      </c>
    </row>
    <row r="144" spans="1:9" ht="16.5">
      <c r="A144" s="23" t="s">
        <v>0</v>
      </c>
      <c r="B144" s="23" t="s">
        <v>47</v>
      </c>
      <c r="C144" s="23" t="s">
        <v>48</v>
      </c>
      <c r="D144" s="23" t="s">
        <v>49</v>
      </c>
      <c r="E144" s="23" t="s">
        <v>50</v>
      </c>
    </row>
    <row r="145" spans="1:5">
      <c r="A145" s="24">
        <v>1</v>
      </c>
      <c r="B145" s="14">
        <v>1.5900000000000001E-7</v>
      </c>
      <c r="C145" s="14">
        <v>1.6700000000000001E-6</v>
      </c>
      <c r="D145" s="24">
        <v>4.3499999999999997E-3</v>
      </c>
      <c r="E145" s="24">
        <f>4/D145*SQRT(B145/(B145+C145))</f>
        <v>271.12055433721503</v>
      </c>
    </row>
    <row r="146" spans="1:5">
      <c r="A146" s="24">
        <v>2</v>
      </c>
      <c r="B146" s="14">
        <v>3.2300000000000002E-7</v>
      </c>
      <c r="C146" s="14">
        <v>1.77E-6</v>
      </c>
      <c r="D146" s="24">
        <v>4.3499999999999997E-3</v>
      </c>
      <c r="E146" s="24">
        <f>4/D146*SQRT(B146/(B146+C146))</f>
        <v>361.23296961812127</v>
      </c>
    </row>
    <row r="147" spans="1:5">
      <c r="A147" s="24">
        <v>3</v>
      </c>
      <c r="B147" s="14">
        <v>4.9699999999999996E-7</v>
      </c>
      <c r="C147" s="14">
        <v>4.1699999999999999E-7</v>
      </c>
      <c r="D147" s="24">
        <v>1.6000000000000001E-3</v>
      </c>
      <c r="E147" s="24">
        <f>4/D147*SQRT(B147/(B147+C147))</f>
        <v>1843.5083335667291</v>
      </c>
    </row>
    <row r="148" spans="1:5">
      <c r="A148" s="24">
        <v>4</v>
      </c>
      <c r="B148" s="14">
        <v>7.9999999999999996E-7</v>
      </c>
      <c r="C148" s="14">
        <v>7.9899999999999994E-8</v>
      </c>
      <c r="D148" s="24">
        <v>1.6000000000000001E-3</v>
      </c>
      <c r="E148" s="24">
        <f>4/D148*SQRT(B148/(B148+C148))</f>
        <v>2383.7919196847133</v>
      </c>
    </row>
    <row r="149" spans="1:5">
      <c r="A149" s="25">
        <v>5</v>
      </c>
      <c r="B149" s="16">
        <v>1.6500000000000001E-7</v>
      </c>
      <c r="C149" s="16">
        <v>1.68E-6</v>
      </c>
      <c r="D149" s="25">
        <v>1.6000000000000001E-3</v>
      </c>
      <c r="E149" s="24">
        <f>4/D149*SQRT(B149/(B149+C149))</f>
        <v>747.62496576217575</v>
      </c>
    </row>
  </sheetData>
  <mergeCells count="44">
    <mergeCell ref="J14:J15"/>
    <mergeCell ref="J28:J29"/>
    <mergeCell ref="J54:J55"/>
    <mergeCell ref="J67:J68"/>
    <mergeCell ref="H14:H15"/>
    <mergeCell ref="H28:H29"/>
    <mergeCell ref="H54:H55"/>
    <mergeCell ref="H67:H68"/>
    <mergeCell ref="I14:I15"/>
    <mergeCell ref="I28:I29"/>
    <mergeCell ref="I54:I55"/>
    <mergeCell ref="I67:I68"/>
    <mergeCell ref="F14:F15"/>
    <mergeCell ref="F28:F29"/>
    <mergeCell ref="F54:F55"/>
    <mergeCell ref="F67:F68"/>
    <mergeCell ref="G14:G15"/>
    <mergeCell ref="G28:G29"/>
    <mergeCell ref="G54:G55"/>
    <mergeCell ref="G67:G68"/>
    <mergeCell ref="D14:D15"/>
    <mergeCell ref="D28:D29"/>
    <mergeCell ref="D54:D55"/>
    <mergeCell ref="D67:D68"/>
    <mergeCell ref="E14:E15"/>
    <mergeCell ref="E28:E29"/>
    <mergeCell ref="E54:E55"/>
    <mergeCell ref="E67:E68"/>
    <mergeCell ref="K14:M14"/>
    <mergeCell ref="K28:M28"/>
    <mergeCell ref="K54:M54"/>
    <mergeCell ref="K67:M67"/>
    <mergeCell ref="A14:A15"/>
    <mergeCell ref="A28:A29"/>
    <mergeCell ref="A54:A55"/>
    <mergeCell ref="A67:A68"/>
    <mergeCell ref="B14:B15"/>
    <mergeCell ref="B28:B29"/>
    <mergeCell ref="B54:B55"/>
    <mergeCell ref="B67:B68"/>
    <mergeCell ref="C14:C15"/>
    <mergeCell ref="C28:C29"/>
    <mergeCell ref="C54:C55"/>
    <mergeCell ref="C67:C68"/>
  </mergeCells>
  <phoneticPr fontId="16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续 王</dc:creator>
  <cp:lastModifiedBy>78 Platinum</cp:lastModifiedBy>
  <dcterms:created xsi:type="dcterms:W3CDTF">2024-05-29T02:49:00Z</dcterms:created>
  <dcterms:modified xsi:type="dcterms:W3CDTF">2024-06-01T08:27:41Z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4322B3719474401A8C39189C12237909_12</vt:lpwstr>
  </property>
  <property fmtid="{D5CDD505-2E9C-101B-9397-08002B2CF9AE}" pid="3" name="KSOProductBuildVer">
    <vt:lpwstr>2052-12.1.0.16929</vt:lpwstr>
  </property>
</Properties>
</file>