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utomacao\relatorios\"/>
    </mc:Choice>
  </mc:AlternateContent>
  <bookViews>
    <workbookView minimized="1" xWindow="0" yWindow="0" windowWidth="15630" windowHeight="7230"/>
  </bookViews>
  <sheets>
    <sheet name="EFD CONTRIBUIÇÕES" sheetId="1" r:id="rId1"/>
  </sheets>
  <calcPr calcId="152511"/>
</workbook>
</file>

<file path=xl/calcChain.xml><?xml version="1.0" encoding="utf-8"?>
<calcChain xmlns="http://schemas.openxmlformats.org/spreadsheetml/2006/main">
  <c r="C2" i="1" l="1"/>
  <c r="E2" i="1"/>
  <c r="F2" i="1"/>
  <c r="G2" i="1"/>
  <c r="H2" i="1"/>
  <c r="K2" i="1"/>
  <c r="C3" i="1"/>
  <c r="E3" i="1"/>
  <c r="F3" i="1"/>
  <c r="G3" i="1"/>
  <c r="H3" i="1"/>
  <c r="K3" i="1"/>
  <c r="C4" i="1"/>
  <c r="E4" i="1"/>
  <c r="F4" i="1"/>
  <c r="G4" i="1"/>
  <c r="H4" i="1"/>
  <c r="K4" i="1"/>
  <c r="C5" i="1"/>
  <c r="E5" i="1"/>
  <c r="F5" i="1"/>
  <c r="G5" i="1"/>
  <c r="H5" i="1"/>
  <c r="K5" i="1"/>
  <c r="C6" i="1"/>
  <c r="E6" i="1"/>
  <c r="F6" i="1"/>
  <c r="G6" i="1"/>
  <c r="H6" i="1"/>
  <c r="K6" i="1"/>
  <c r="C7" i="1"/>
  <c r="E7" i="1"/>
  <c r="F7" i="1"/>
  <c r="G7" i="1"/>
  <c r="H7" i="1"/>
  <c r="K7" i="1"/>
  <c r="C8" i="1"/>
  <c r="D8" i="1"/>
  <c r="E8" i="1"/>
  <c r="F8" i="1"/>
  <c r="G8" i="1"/>
  <c r="H8" i="1"/>
  <c r="K8" i="1"/>
  <c r="C9" i="1"/>
  <c r="D9" i="1"/>
  <c r="E9" i="1"/>
  <c r="F9" i="1"/>
  <c r="G9" i="1"/>
  <c r="H9" i="1"/>
  <c r="K9" i="1"/>
  <c r="C10" i="1"/>
  <c r="D10" i="1"/>
  <c r="E10" i="1"/>
  <c r="F10" i="1"/>
  <c r="G10" i="1"/>
  <c r="H10" i="1"/>
  <c r="K10" i="1"/>
  <c r="C11" i="1"/>
  <c r="D11" i="1"/>
  <c r="E11" i="1"/>
  <c r="F11" i="1"/>
  <c r="G11" i="1"/>
  <c r="H11" i="1"/>
  <c r="K11" i="1"/>
  <c r="C12" i="1"/>
  <c r="D12" i="1"/>
  <c r="E12" i="1"/>
  <c r="F12" i="1"/>
  <c r="G12" i="1"/>
  <c r="H12" i="1"/>
  <c r="K12" i="1"/>
  <c r="C13" i="1"/>
  <c r="D13" i="1"/>
  <c r="E13" i="1"/>
  <c r="F13" i="1"/>
  <c r="G13" i="1"/>
  <c r="H13" i="1"/>
  <c r="K13" i="1"/>
  <c r="C14" i="1"/>
  <c r="E14" i="1"/>
  <c r="F14" i="1"/>
  <c r="G14" i="1"/>
  <c r="H14" i="1"/>
  <c r="K14" i="1"/>
  <c r="C15" i="1"/>
  <c r="E15" i="1"/>
  <c r="F15" i="1"/>
  <c r="G15" i="1"/>
  <c r="H15" i="1"/>
  <c r="K15" i="1"/>
  <c r="C16" i="1"/>
  <c r="E16" i="1"/>
  <c r="F16" i="1"/>
  <c r="G16" i="1"/>
  <c r="H16" i="1"/>
  <c r="K16" i="1"/>
  <c r="C17" i="1"/>
  <c r="D17" i="1"/>
  <c r="E17" i="1"/>
  <c r="F17" i="1"/>
  <c r="G17" i="1"/>
  <c r="H17" i="1"/>
  <c r="K17" i="1"/>
  <c r="C18" i="1"/>
  <c r="D18" i="1"/>
  <c r="E18" i="1"/>
  <c r="F18" i="1"/>
  <c r="G18" i="1"/>
  <c r="H18" i="1"/>
  <c r="K18" i="1"/>
  <c r="C19" i="1"/>
  <c r="D19" i="1"/>
  <c r="E19" i="1"/>
  <c r="F19" i="1"/>
  <c r="G19" i="1"/>
  <c r="H19" i="1"/>
  <c r="K19" i="1"/>
  <c r="C20" i="1"/>
  <c r="D20" i="1"/>
  <c r="E20" i="1"/>
  <c r="F20" i="1"/>
  <c r="G20" i="1"/>
  <c r="H20" i="1"/>
  <c r="K20" i="1"/>
  <c r="C21" i="1"/>
  <c r="D21" i="1"/>
  <c r="E21" i="1"/>
  <c r="F21" i="1"/>
  <c r="G21" i="1"/>
  <c r="H21" i="1"/>
  <c r="K21" i="1"/>
  <c r="C22" i="1"/>
  <c r="D22" i="1"/>
  <c r="E22" i="1"/>
  <c r="F22" i="1"/>
  <c r="G22" i="1"/>
  <c r="H22" i="1"/>
  <c r="K22" i="1"/>
  <c r="C23" i="1"/>
  <c r="D23" i="1"/>
  <c r="E23" i="1"/>
  <c r="F23" i="1"/>
  <c r="G23" i="1"/>
  <c r="H23" i="1"/>
  <c r="K23" i="1"/>
  <c r="C24" i="1"/>
  <c r="D24" i="1"/>
  <c r="E24" i="1"/>
  <c r="F24" i="1"/>
  <c r="G24" i="1"/>
  <c r="H24" i="1"/>
  <c r="K24" i="1"/>
  <c r="C25" i="1"/>
  <c r="D25" i="1"/>
  <c r="E25" i="1"/>
  <c r="F25" i="1"/>
  <c r="G25" i="1"/>
  <c r="H25" i="1"/>
  <c r="K25" i="1"/>
  <c r="C26" i="1"/>
  <c r="D26" i="1"/>
  <c r="E26" i="1"/>
  <c r="F26" i="1"/>
  <c r="G26" i="1"/>
  <c r="H26" i="1"/>
  <c r="K26" i="1"/>
  <c r="C27" i="1"/>
  <c r="D27" i="1"/>
  <c r="E27" i="1"/>
  <c r="F27" i="1"/>
  <c r="G27" i="1"/>
  <c r="H27" i="1"/>
  <c r="K27" i="1"/>
  <c r="C28" i="1"/>
  <c r="D28" i="1"/>
  <c r="E28" i="1"/>
  <c r="F28" i="1"/>
  <c r="G28" i="1"/>
  <c r="H28" i="1"/>
  <c r="K28" i="1"/>
  <c r="C29" i="1"/>
  <c r="E29" i="1"/>
  <c r="F29" i="1"/>
  <c r="G29" i="1"/>
  <c r="H29" i="1"/>
  <c r="K29" i="1"/>
  <c r="C30" i="1"/>
  <c r="D30" i="1"/>
  <c r="E30" i="1"/>
  <c r="F30" i="1"/>
  <c r="G30" i="1"/>
  <c r="H30" i="1"/>
  <c r="K30" i="1"/>
  <c r="C31" i="1"/>
  <c r="D31" i="1"/>
  <c r="E31" i="1"/>
  <c r="F31" i="1"/>
  <c r="G31" i="1"/>
  <c r="H31" i="1"/>
  <c r="K31" i="1"/>
  <c r="C32" i="1"/>
  <c r="D32" i="1"/>
  <c r="E32" i="1"/>
  <c r="F32" i="1"/>
  <c r="G32" i="1"/>
  <c r="H32" i="1"/>
  <c r="K32" i="1"/>
  <c r="C33" i="1"/>
  <c r="D33" i="1"/>
  <c r="E33" i="1"/>
  <c r="F33" i="1"/>
  <c r="G33" i="1"/>
  <c r="H33" i="1"/>
  <c r="K33" i="1"/>
  <c r="C34" i="1"/>
  <c r="E34" i="1"/>
  <c r="F34" i="1"/>
  <c r="G34" i="1"/>
  <c r="H34" i="1"/>
  <c r="K34" i="1"/>
  <c r="C35" i="1"/>
  <c r="D35" i="1"/>
  <c r="E35" i="1"/>
  <c r="F35" i="1"/>
  <c r="G35" i="1"/>
  <c r="H35" i="1"/>
  <c r="K35" i="1"/>
  <c r="C36" i="1"/>
  <c r="E36" i="1"/>
  <c r="F36" i="1"/>
  <c r="G36" i="1"/>
  <c r="H36" i="1"/>
  <c r="K36" i="1"/>
  <c r="C37" i="1"/>
  <c r="E37" i="1"/>
  <c r="F37" i="1"/>
  <c r="G37" i="1"/>
  <c r="H37" i="1"/>
  <c r="K37" i="1"/>
  <c r="C38" i="1"/>
  <c r="E38" i="1"/>
  <c r="F38" i="1"/>
  <c r="G38" i="1"/>
  <c r="H38" i="1"/>
  <c r="K38" i="1"/>
  <c r="C39" i="1"/>
  <c r="E39" i="1"/>
  <c r="F39" i="1"/>
  <c r="G39" i="1"/>
  <c r="H39" i="1"/>
  <c r="K39" i="1"/>
  <c r="C40" i="1"/>
  <c r="E40" i="1"/>
  <c r="F40" i="1"/>
  <c r="G40" i="1"/>
  <c r="H40" i="1"/>
  <c r="K40" i="1"/>
  <c r="C41" i="1"/>
  <c r="E41" i="1"/>
  <c r="F41" i="1"/>
  <c r="G41" i="1"/>
  <c r="H41" i="1"/>
  <c r="K41" i="1"/>
  <c r="C42" i="1"/>
  <c r="E42" i="1"/>
  <c r="F42" i="1"/>
  <c r="G42" i="1"/>
  <c r="H42" i="1"/>
  <c r="K42" i="1"/>
  <c r="C43" i="1"/>
  <c r="E43" i="1"/>
  <c r="F43" i="1"/>
  <c r="G43" i="1"/>
  <c r="H43" i="1"/>
  <c r="K43" i="1"/>
  <c r="C44" i="1"/>
  <c r="E44" i="1"/>
  <c r="F44" i="1"/>
  <c r="G44" i="1"/>
  <c r="H44" i="1"/>
  <c r="K44" i="1"/>
  <c r="C45" i="1"/>
  <c r="E45" i="1"/>
  <c r="F45" i="1"/>
  <c r="G45" i="1"/>
  <c r="H45" i="1"/>
  <c r="K45" i="1"/>
  <c r="C46" i="1"/>
  <c r="E46" i="1"/>
  <c r="F46" i="1"/>
  <c r="G46" i="1"/>
  <c r="H46" i="1"/>
  <c r="K46" i="1"/>
  <c r="C47" i="1"/>
  <c r="E47" i="1"/>
  <c r="F47" i="1"/>
  <c r="G47" i="1"/>
  <c r="H47" i="1"/>
  <c r="K47" i="1"/>
  <c r="C48" i="1"/>
  <c r="E48" i="1"/>
  <c r="F48" i="1"/>
  <c r="G48" i="1"/>
  <c r="H48" i="1"/>
  <c r="K48" i="1"/>
  <c r="C49" i="1"/>
  <c r="E49" i="1"/>
  <c r="F49" i="1"/>
  <c r="G49" i="1"/>
  <c r="H49" i="1"/>
  <c r="K49" i="1"/>
  <c r="C50" i="1"/>
  <c r="E50" i="1"/>
  <c r="F50" i="1"/>
  <c r="G50" i="1"/>
  <c r="H50" i="1"/>
  <c r="K50" i="1"/>
  <c r="C51" i="1"/>
  <c r="E51" i="1"/>
  <c r="F51" i="1"/>
  <c r="G51" i="1"/>
  <c r="H51" i="1"/>
  <c r="K51" i="1"/>
  <c r="C52" i="1"/>
  <c r="E52" i="1"/>
  <c r="F52" i="1"/>
  <c r="G52" i="1"/>
  <c r="H52" i="1"/>
  <c r="K52" i="1"/>
  <c r="C53" i="1"/>
  <c r="E53" i="1"/>
  <c r="F53" i="1"/>
  <c r="G53" i="1"/>
  <c r="H53" i="1"/>
  <c r="K53" i="1"/>
  <c r="C54" i="1"/>
  <c r="E54" i="1"/>
  <c r="F54" i="1"/>
  <c r="G54" i="1"/>
  <c r="H54" i="1"/>
  <c r="K54" i="1"/>
  <c r="C55" i="1"/>
  <c r="E55" i="1"/>
  <c r="F55" i="1"/>
  <c r="G55" i="1"/>
  <c r="H55" i="1"/>
  <c r="K55" i="1"/>
  <c r="C56" i="1"/>
  <c r="E56" i="1"/>
  <c r="F56" i="1"/>
  <c r="G56" i="1"/>
  <c r="H56" i="1"/>
  <c r="K56" i="1"/>
  <c r="C57" i="1"/>
  <c r="E57" i="1"/>
  <c r="F57" i="1"/>
  <c r="G57" i="1"/>
  <c r="H57" i="1"/>
  <c r="K57" i="1"/>
  <c r="C58" i="1"/>
  <c r="E58" i="1"/>
  <c r="F58" i="1"/>
  <c r="G58" i="1"/>
  <c r="H58" i="1"/>
  <c r="K58" i="1"/>
  <c r="C59" i="1"/>
  <c r="E59" i="1"/>
  <c r="F59" i="1"/>
  <c r="G59" i="1"/>
  <c r="H59" i="1"/>
  <c r="K59" i="1"/>
  <c r="C60" i="1"/>
  <c r="E60" i="1"/>
  <c r="F60" i="1"/>
  <c r="G60" i="1"/>
  <c r="H60" i="1"/>
  <c r="K60" i="1"/>
  <c r="C61" i="1"/>
  <c r="E61" i="1"/>
  <c r="F61" i="1"/>
  <c r="G61" i="1"/>
  <c r="H61" i="1"/>
  <c r="K61" i="1"/>
  <c r="C62" i="1"/>
  <c r="E62" i="1"/>
  <c r="F62" i="1"/>
  <c r="G62" i="1"/>
  <c r="H62" i="1"/>
  <c r="K62" i="1"/>
  <c r="C63" i="1"/>
  <c r="E63" i="1"/>
  <c r="F63" i="1"/>
  <c r="G63" i="1"/>
  <c r="H63" i="1"/>
  <c r="K63" i="1"/>
  <c r="C64" i="1"/>
  <c r="D64" i="1"/>
  <c r="E64" i="1"/>
  <c r="F64" i="1"/>
  <c r="G64" i="1"/>
  <c r="H64" i="1"/>
  <c r="K64" i="1"/>
  <c r="C65" i="1"/>
  <c r="D65" i="1"/>
  <c r="E65" i="1"/>
  <c r="F65" i="1"/>
  <c r="G65" i="1"/>
  <c r="H65" i="1"/>
  <c r="K65" i="1"/>
  <c r="C66" i="1"/>
  <c r="D66" i="1"/>
  <c r="E66" i="1"/>
  <c r="F66" i="1"/>
  <c r="G66" i="1"/>
  <c r="H66" i="1"/>
  <c r="K66" i="1"/>
  <c r="C67" i="1"/>
  <c r="D67" i="1"/>
  <c r="E67" i="1"/>
  <c r="F67" i="1"/>
  <c r="G67" i="1"/>
  <c r="H67" i="1"/>
  <c r="K67" i="1"/>
  <c r="C68" i="1"/>
  <c r="D68" i="1"/>
  <c r="E68" i="1"/>
  <c r="F68" i="1"/>
  <c r="G68" i="1"/>
  <c r="H68" i="1"/>
  <c r="K68" i="1"/>
  <c r="C69" i="1"/>
  <c r="D69" i="1"/>
  <c r="E69" i="1"/>
  <c r="F69" i="1"/>
  <c r="G69" i="1"/>
  <c r="H69" i="1"/>
  <c r="K69" i="1"/>
  <c r="C70" i="1"/>
  <c r="D70" i="1"/>
  <c r="E70" i="1"/>
  <c r="F70" i="1"/>
  <c r="G70" i="1"/>
  <c r="H70" i="1"/>
  <c r="K70" i="1"/>
  <c r="C71" i="1"/>
  <c r="E71" i="1"/>
  <c r="F71" i="1"/>
  <c r="G71" i="1"/>
  <c r="H71" i="1"/>
  <c r="K71" i="1"/>
  <c r="C72" i="1"/>
  <c r="E72" i="1"/>
  <c r="F72" i="1"/>
  <c r="G72" i="1"/>
  <c r="H72" i="1"/>
  <c r="K72" i="1"/>
  <c r="C73" i="1"/>
  <c r="E73" i="1"/>
  <c r="F73" i="1"/>
  <c r="G73" i="1"/>
  <c r="H73" i="1"/>
  <c r="K73" i="1"/>
  <c r="C74" i="1"/>
  <c r="E74" i="1"/>
  <c r="F74" i="1"/>
  <c r="G74" i="1"/>
  <c r="H74" i="1"/>
  <c r="J74" i="1"/>
  <c r="K74" i="1"/>
  <c r="C75" i="1"/>
  <c r="E75" i="1"/>
  <c r="G75" i="1"/>
  <c r="H75" i="1"/>
  <c r="I75" i="1"/>
  <c r="J75" i="1"/>
  <c r="K75" i="1"/>
  <c r="C76" i="1"/>
  <c r="D76" i="1"/>
  <c r="E76" i="1"/>
  <c r="G76" i="1"/>
  <c r="H76" i="1"/>
  <c r="J76" i="1"/>
  <c r="K76" i="1"/>
  <c r="C77" i="1"/>
  <c r="D77" i="1"/>
  <c r="E77" i="1"/>
  <c r="G77" i="1"/>
  <c r="H77" i="1"/>
  <c r="J77" i="1"/>
  <c r="K77" i="1"/>
  <c r="C78" i="1"/>
  <c r="D78" i="1"/>
  <c r="E78" i="1"/>
  <c r="G78" i="1"/>
  <c r="H78" i="1"/>
  <c r="J78" i="1"/>
  <c r="K78" i="1"/>
  <c r="C79" i="1"/>
  <c r="D79" i="1"/>
  <c r="E79" i="1"/>
  <c r="G79" i="1"/>
  <c r="H79" i="1"/>
  <c r="J79" i="1"/>
  <c r="K79" i="1"/>
  <c r="C80" i="1"/>
  <c r="E80" i="1"/>
  <c r="G80" i="1"/>
  <c r="H80" i="1"/>
  <c r="J80" i="1"/>
  <c r="K80" i="1"/>
  <c r="C81" i="1"/>
  <c r="D81" i="1"/>
  <c r="E81" i="1"/>
  <c r="G81" i="1"/>
  <c r="H81" i="1"/>
  <c r="J81" i="1"/>
  <c r="K81" i="1"/>
  <c r="C82" i="1"/>
  <c r="D82" i="1"/>
  <c r="E82" i="1"/>
  <c r="G82" i="1"/>
  <c r="H82" i="1"/>
  <c r="J82" i="1"/>
  <c r="K82" i="1"/>
  <c r="C83" i="1"/>
  <c r="D83" i="1"/>
  <c r="E83" i="1"/>
  <c r="G83" i="1"/>
  <c r="H83" i="1"/>
  <c r="J83" i="1"/>
  <c r="K83" i="1"/>
  <c r="C84" i="1"/>
  <c r="D84" i="1"/>
  <c r="E84" i="1"/>
  <c r="G84" i="1"/>
  <c r="H84" i="1"/>
  <c r="J84" i="1"/>
  <c r="K84" i="1"/>
  <c r="C85" i="1"/>
  <c r="D85" i="1"/>
  <c r="E85" i="1"/>
  <c r="G85" i="1"/>
  <c r="H85" i="1"/>
  <c r="J85" i="1"/>
  <c r="K85" i="1"/>
  <c r="C86" i="1"/>
  <c r="D86" i="1"/>
  <c r="E86" i="1"/>
  <c r="G86" i="1"/>
  <c r="H86" i="1"/>
  <c r="J86" i="1"/>
  <c r="K86" i="1"/>
  <c r="C87" i="1"/>
  <c r="D87" i="1"/>
  <c r="E87" i="1"/>
  <c r="G87" i="1"/>
  <c r="H87" i="1"/>
  <c r="J87" i="1"/>
  <c r="K87" i="1"/>
  <c r="C88" i="1"/>
  <c r="D88" i="1"/>
  <c r="E88" i="1"/>
  <c r="G88" i="1"/>
  <c r="H88" i="1"/>
  <c r="J88" i="1"/>
  <c r="K88" i="1"/>
  <c r="C89" i="1"/>
  <c r="D89" i="1"/>
  <c r="E89" i="1"/>
  <c r="G89" i="1"/>
  <c r="H89" i="1"/>
  <c r="J89" i="1"/>
  <c r="K89" i="1"/>
  <c r="C90" i="1"/>
  <c r="D90" i="1"/>
  <c r="E90" i="1"/>
  <c r="G90" i="1"/>
  <c r="H90" i="1"/>
  <c r="J90" i="1"/>
  <c r="K90" i="1"/>
  <c r="C91" i="1"/>
  <c r="D91" i="1"/>
  <c r="E91" i="1"/>
  <c r="G91" i="1"/>
  <c r="H91" i="1"/>
  <c r="J91" i="1"/>
  <c r="K91" i="1"/>
  <c r="C92" i="1"/>
  <c r="D92" i="1"/>
  <c r="E92" i="1"/>
  <c r="G92" i="1"/>
  <c r="H92" i="1"/>
  <c r="J92" i="1"/>
  <c r="K92" i="1"/>
  <c r="C93" i="1"/>
  <c r="D93" i="1"/>
  <c r="E93" i="1"/>
  <c r="G93" i="1"/>
  <c r="H93" i="1"/>
  <c r="J93" i="1"/>
  <c r="K93" i="1"/>
  <c r="C94" i="1"/>
  <c r="D94" i="1"/>
  <c r="E94" i="1"/>
  <c r="G94" i="1"/>
  <c r="H94" i="1"/>
  <c r="J94" i="1"/>
  <c r="K94" i="1"/>
  <c r="C95" i="1"/>
  <c r="D95" i="1"/>
  <c r="E95" i="1"/>
  <c r="G95" i="1"/>
  <c r="H95" i="1"/>
  <c r="J95" i="1"/>
  <c r="K95" i="1"/>
  <c r="C96" i="1"/>
  <c r="D96" i="1"/>
  <c r="E96" i="1"/>
  <c r="G96" i="1"/>
  <c r="H96" i="1"/>
  <c r="J96" i="1"/>
  <c r="K96" i="1"/>
  <c r="C97" i="1"/>
  <c r="D97" i="1"/>
  <c r="E97" i="1"/>
  <c r="G97" i="1"/>
  <c r="H97" i="1"/>
  <c r="J97" i="1"/>
  <c r="K97" i="1"/>
  <c r="C98" i="1"/>
  <c r="D98" i="1"/>
  <c r="E98" i="1"/>
  <c r="G98" i="1"/>
  <c r="H98" i="1"/>
  <c r="J98" i="1"/>
  <c r="K98" i="1"/>
  <c r="C99" i="1"/>
  <c r="D99" i="1"/>
  <c r="E99" i="1"/>
  <c r="G99" i="1"/>
  <c r="H99" i="1"/>
  <c r="J99" i="1"/>
  <c r="K99" i="1"/>
  <c r="C100" i="1"/>
  <c r="D100" i="1"/>
  <c r="E100" i="1"/>
  <c r="G100" i="1"/>
  <c r="H100" i="1"/>
  <c r="J100" i="1"/>
  <c r="K100" i="1"/>
  <c r="C101" i="1"/>
  <c r="D101" i="1"/>
  <c r="E101" i="1"/>
  <c r="G101" i="1"/>
  <c r="H101" i="1"/>
  <c r="J101" i="1"/>
  <c r="K101" i="1"/>
  <c r="C102" i="1"/>
  <c r="D102" i="1"/>
  <c r="E102" i="1"/>
  <c r="G102" i="1"/>
  <c r="H102" i="1"/>
  <c r="J102" i="1"/>
  <c r="K102" i="1"/>
  <c r="C103" i="1"/>
  <c r="D103" i="1"/>
  <c r="E103" i="1"/>
  <c r="G103" i="1"/>
  <c r="H103" i="1"/>
  <c r="J103" i="1"/>
  <c r="K103" i="1"/>
  <c r="C104" i="1"/>
  <c r="D104" i="1"/>
  <c r="E104" i="1"/>
  <c r="G104" i="1"/>
  <c r="H104" i="1"/>
  <c r="J104" i="1"/>
  <c r="K104" i="1"/>
  <c r="C105" i="1"/>
  <c r="D105" i="1"/>
  <c r="E105" i="1"/>
  <c r="G105" i="1"/>
  <c r="H105" i="1"/>
  <c r="J105" i="1"/>
  <c r="K105" i="1"/>
  <c r="C106" i="1"/>
  <c r="D106" i="1"/>
  <c r="E106" i="1"/>
  <c r="G106" i="1"/>
  <c r="H106" i="1"/>
  <c r="J106" i="1"/>
  <c r="K106" i="1"/>
  <c r="C107" i="1"/>
  <c r="D107" i="1"/>
  <c r="E107" i="1"/>
  <c r="G107" i="1"/>
  <c r="H107" i="1"/>
  <c r="J107" i="1"/>
  <c r="K107" i="1"/>
  <c r="C108" i="1"/>
  <c r="D108" i="1"/>
  <c r="E108" i="1"/>
  <c r="G108" i="1"/>
  <c r="H108" i="1"/>
  <c r="J108" i="1"/>
  <c r="K108" i="1"/>
  <c r="C109" i="1"/>
  <c r="D109" i="1"/>
  <c r="E109" i="1"/>
  <c r="G109" i="1"/>
  <c r="H109" i="1"/>
  <c r="J109" i="1"/>
  <c r="K109" i="1"/>
  <c r="C110" i="1"/>
  <c r="D110" i="1"/>
  <c r="E110" i="1"/>
  <c r="G110" i="1"/>
  <c r="H110" i="1"/>
  <c r="J110" i="1"/>
  <c r="K110" i="1"/>
  <c r="C111" i="1"/>
  <c r="D111" i="1"/>
  <c r="E111" i="1"/>
  <c r="G111" i="1"/>
  <c r="H111" i="1"/>
  <c r="J111" i="1"/>
  <c r="K111" i="1"/>
  <c r="C112" i="1"/>
  <c r="D112" i="1"/>
  <c r="E112" i="1"/>
  <c r="G112" i="1"/>
  <c r="H112" i="1"/>
  <c r="J112" i="1"/>
  <c r="K112" i="1"/>
  <c r="C113" i="1"/>
  <c r="D113" i="1"/>
  <c r="E113" i="1"/>
  <c r="G113" i="1"/>
  <c r="H113" i="1"/>
  <c r="J113" i="1"/>
  <c r="K113" i="1"/>
  <c r="C114" i="1"/>
  <c r="D114" i="1"/>
  <c r="E114" i="1"/>
  <c r="G114" i="1"/>
  <c r="H114" i="1"/>
  <c r="J114" i="1"/>
  <c r="K114" i="1"/>
  <c r="C115" i="1"/>
  <c r="D115" i="1"/>
  <c r="E115" i="1"/>
  <c r="G115" i="1"/>
  <c r="H115" i="1"/>
  <c r="J115" i="1"/>
  <c r="K115" i="1"/>
  <c r="C116" i="1"/>
  <c r="D116" i="1"/>
  <c r="E116" i="1"/>
  <c r="G116" i="1"/>
  <c r="H116" i="1"/>
  <c r="J116" i="1"/>
  <c r="K116" i="1"/>
  <c r="C117" i="1"/>
  <c r="D117" i="1"/>
  <c r="E117" i="1"/>
  <c r="G117" i="1"/>
  <c r="H117" i="1"/>
  <c r="J117" i="1"/>
  <c r="K117" i="1"/>
  <c r="C118" i="1"/>
  <c r="D118" i="1"/>
  <c r="E118" i="1"/>
  <c r="G118" i="1"/>
  <c r="H118" i="1"/>
  <c r="J118" i="1"/>
  <c r="K118" i="1"/>
  <c r="C119" i="1"/>
  <c r="D119" i="1"/>
  <c r="E119" i="1"/>
  <c r="G119" i="1"/>
  <c r="H119" i="1"/>
  <c r="J119" i="1"/>
  <c r="K119" i="1"/>
  <c r="C120" i="1"/>
  <c r="D120" i="1"/>
  <c r="E120" i="1"/>
  <c r="G120" i="1"/>
  <c r="H120" i="1"/>
  <c r="J120" i="1"/>
  <c r="K120" i="1"/>
  <c r="C121" i="1"/>
  <c r="D121" i="1"/>
  <c r="E121" i="1"/>
  <c r="G121" i="1"/>
  <c r="H121" i="1"/>
  <c r="J121" i="1"/>
  <c r="K121" i="1"/>
  <c r="C122" i="1"/>
  <c r="D122" i="1"/>
  <c r="E122" i="1"/>
  <c r="G122" i="1"/>
  <c r="H122" i="1"/>
  <c r="J122" i="1"/>
  <c r="K122" i="1"/>
  <c r="C123" i="1"/>
  <c r="D123" i="1"/>
  <c r="E123" i="1"/>
  <c r="G123" i="1"/>
  <c r="H123" i="1"/>
  <c r="J123" i="1"/>
  <c r="K123" i="1"/>
  <c r="C124" i="1"/>
  <c r="D124" i="1"/>
  <c r="E124" i="1"/>
  <c r="G124" i="1"/>
  <c r="H124" i="1"/>
  <c r="J124" i="1"/>
  <c r="K124" i="1"/>
  <c r="C125" i="1"/>
  <c r="D125" i="1"/>
  <c r="E125" i="1"/>
  <c r="G125" i="1"/>
  <c r="H125" i="1"/>
  <c r="J125" i="1"/>
  <c r="K125" i="1"/>
  <c r="C126" i="1"/>
  <c r="D126" i="1"/>
  <c r="E126" i="1"/>
  <c r="G126" i="1"/>
  <c r="H126" i="1"/>
  <c r="J126" i="1"/>
  <c r="K126" i="1"/>
  <c r="C127" i="1"/>
  <c r="D127" i="1"/>
  <c r="E127" i="1"/>
  <c r="G127" i="1"/>
  <c r="H127" i="1"/>
  <c r="J127" i="1"/>
  <c r="K127" i="1"/>
  <c r="C128" i="1"/>
  <c r="D128" i="1"/>
  <c r="E128" i="1"/>
  <c r="G128" i="1"/>
  <c r="H128" i="1"/>
  <c r="J128" i="1"/>
  <c r="K128" i="1"/>
  <c r="C129" i="1"/>
  <c r="D129" i="1"/>
  <c r="E129" i="1"/>
  <c r="G129" i="1"/>
  <c r="H129" i="1"/>
  <c r="J129" i="1"/>
  <c r="K129" i="1"/>
  <c r="C130" i="1"/>
  <c r="D130" i="1"/>
  <c r="E130" i="1"/>
  <c r="G130" i="1"/>
  <c r="H130" i="1"/>
  <c r="J130" i="1"/>
  <c r="K130" i="1"/>
  <c r="C131" i="1"/>
  <c r="D131" i="1"/>
  <c r="E131" i="1"/>
  <c r="G131" i="1"/>
  <c r="H131" i="1"/>
  <c r="J131" i="1"/>
  <c r="K131" i="1"/>
  <c r="C132" i="1"/>
  <c r="D132" i="1"/>
  <c r="E132" i="1"/>
  <c r="G132" i="1"/>
  <c r="H132" i="1"/>
  <c r="J132" i="1"/>
  <c r="K132" i="1"/>
  <c r="C133" i="1"/>
  <c r="D133" i="1"/>
  <c r="E133" i="1"/>
  <c r="G133" i="1"/>
  <c r="H133" i="1"/>
  <c r="J133" i="1"/>
  <c r="K133" i="1"/>
  <c r="C134" i="1"/>
  <c r="D134" i="1"/>
  <c r="E134" i="1"/>
  <c r="G134" i="1"/>
  <c r="H134" i="1"/>
  <c r="J134" i="1"/>
  <c r="K134" i="1"/>
  <c r="C135" i="1"/>
  <c r="D135" i="1"/>
  <c r="E135" i="1"/>
  <c r="G135" i="1"/>
  <c r="H135" i="1"/>
  <c r="J135" i="1"/>
  <c r="K135" i="1"/>
  <c r="C136" i="1"/>
  <c r="D136" i="1"/>
  <c r="E136" i="1"/>
  <c r="G136" i="1"/>
  <c r="H136" i="1"/>
  <c r="J136" i="1"/>
  <c r="K136" i="1"/>
  <c r="C137" i="1"/>
  <c r="D137" i="1"/>
  <c r="E137" i="1"/>
  <c r="G137" i="1"/>
  <c r="H137" i="1"/>
  <c r="J137" i="1"/>
  <c r="K137" i="1"/>
  <c r="C138" i="1"/>
  <c r="D138" i="1"/>
  <c r="E138" i="1"/>
  <c r="G138" i="1"/>
  <c r="H138" i="1"/>
  <c r="J138" i="1"/>
  <c r="K138" i="1"/>
  <c r="C139" i="1"/>
  <c r="D139" i="1"/>
  <c r="E139" i="1"/>
  <c r="G139" i="1"/>
  <c r="H139" i="1"/>
  <c r="J139" i="1"/>
  <c r="K139" i="1"/>
  <c r="C140" i="1"/>
  <c r="D140" i="1"/>
  <c r="E140" i="1"/>
  <c r="G140" i="1"/>
  <c r="H140" i="1"/>
  <c r="J140" i="1"/>
  <c r="K140" i="1"/>
  <c r="C141" i="1"/>
  <c r="D141" i="1"/>
  <c r="E141" i="1"/>
  <c r="G141" i="1"/>
  <c r="H141" i="1"/>
  <c r="J141" i="1"/>
  <c r="K141" i="1"/>
  <c r="C142" i="1"/>
  <c r="D142" i="1"/>
  <c r="E142" i="1"/>
  <c r="G142" i="1"/>
  <c r="H142" i="1"/>
  <c r="J142" i="1"/>
  <c r="K142" i="1"/>
  <c r="C143" i="1"/>
  <c r="D143" i="1"/>
  <c r="E143" i="1"/>
  <c r="G143" i="1"/>
  <c r="H143" i="1"/>
  <c r="J143" i="1"/>
  <c r="K143" i="1"/>
  <c r="C144" i="1"/>
  <c r="D144" i="1"/>
  <c r="E144" i="1"/>
  <c r="G144" i="1"/>
  <c r="H144" i="1"/>
  <c r="J144" i="1"/>
  <c r="K144" i="1"/>
  <c r="C145" i="1"/>
  <c r="D145" i="1"/>
  <c r="E145" i="1"/>
  <c r="G145" i="1"/>
  <c r="H145" i="1"/>
  <c r="J145" i="1"/>
  <c r="K145" i="1"/>
  <c r="C146" i="1"/>
  <c r="D146" i="1"/>
  <c r="E146" i="1"/>
  <c r="G146" i="1"/>
  <c r="H146" i="1"/>
  <c r="J146" i="1"/>
  <c r="K146" i="1"/>
  <c r="C147" i="1"/>
  <c r="D147" i="1"/>
  <c r="E147" i="1"/>
  <c r="G147" i="1"/>
  <c r="H147" i="1"/>
  <c r="J147" i="1"/>
  <c r="K147" i="1"/>
  <c r="C148" i="1"/>
  <c r="D148" i="1"/>
  <c r="E148" i="1"/>
  <c r="G148" i="1"/>
  <c r="H148" i="1"/>
  <c r="J148" i="1"/>
  <c r="K148" i="1"/>
  <c r="C149" i="1"/>
  <c r="D149" i="1"/>
  <c r="E149" i="1"/>
  <c r="G149" i="1"/>
  <c r="H149" i="1"/>
  <c r="J149" i="1"/>
  <c r="K149" i="1"/>
  <c r="C150" i="1"/>
  <c r="D150" i="1"/>
  <c r="E150" i="1"/>
  <c r="F150" i="1"/>
  <c r="G150" i="1"/>
  <c r="H150" i="1"/>
  <c r="J150" i="1"/>
  <c r="K150" i="1"/>
  <c r="C151" i="1"/>
  <c r="D151" i="1"/>
  <c r="E151" i="1"/>
  <c r="G151" i="1"/>
  <c r="H151" i="1"/>
  <c r="J151" i="1"/>
  <c r="K151" i="1"/>
  <c r="C152" i="1"/>
  <c r="D152" i="1"/>
  <c r="E152" i="1"/>
  <c r="G152" i="1"/>
  <c r="H152" i="1"/>
  <c r="J152" i="1"/>
  <c r="K152" i="1"/>
  <c r="C153" i="1"/>
  <c r="D153" i="1"/>
  <c r="E153" i="1"/>
  <c r="G153" i="1"/>
  <c r="H153" i="1"/>
  <c r="J153" i="1"/>
  <c r="K153" i="1"/>
  <c r="C154" i="1"/>
  <c r="D154" i="1"/>
  <c r="E154" i="1"/>
  <c r="G154" i="1"/>
  <c r="H154" i="1"/>
  <c r="J154" i="1"/>
  <c r="K154" i="1"/>
  <c r="C155" i="1"/>
  <c r="D155" i="1"/>
  <c r="E155" i="1"/>
  <c r="G155" i="1"/>
  <c r="H155" i="1"/>
  <c r="J155" i="1"/>
  <c r="K155" i="1"/>
  <c r="C156" i="1"/>
  <c r="D156" i="1"/>
  <c r="E156" i="1"/>
  <c r="G156" i="1"/>
  <c r="H156" i="1"/>
  <c r="J156" i="1"/>
  <c r="K156" i="1"/>
  <c r="C157" i="1"/>
  <c r="D157" i="1"/>
  <c r="E157" i="1"/>
  <c r="G157" i="1"/>
  <c r="H157" i="1"/>
  <c r="J157" i="1"/>
  <c r="K157" i="1"/>
  <c r="C158" i="1"/>
  <c r="D158" i="1"/>
  <c r="E158" i="1"/>
  <c r="F158" i="1"/>
  <c r="G158" i="1"/>
  <c r="H158" i="1"/>
  <c r="J158" i="1"/>
  <c r="K158" i="1"/>
  <c r="C159" i="1"/>
  <c r="D159" i="1"/>
  <c r="E159" i="1"/>
  <c r="G159" i="1"/>
  <c r="H159" i="1"/>
  <c r="J159" i="1"/>
  <c r="K159" i="1"/>
  <c r="C160" i="1"/>
  <c r="D160" i="1"/>
  <c r="E160" i="1"/>
  <c r="G160" i="1"/>
  <c r="H160" i="1"/>
  <c r="J160" i="1"/>
  <c r="K160" i="1"/>
  <c r="C161" i="1"/>
  <c r="D161" i="1"/>
  <c r="E161" i="1"/>
  <c r="G161" i="1"/>
  <c r="H161" i="1"/>
  <c r="J161" i="1"/>
  <c r="K161" i="1"/>
  <c r="C162" i="1"/>
  <c r="D162" i="1"/>
  <c r="E162" i="1"/>
  <c r="G162" i="1"/>
  <c r="H162" i="1"/>
  <c r="J162" i="1"/>
  <c r="K162" i="1"/>
  <c r="C163" i="1"/>
  <c r="D163" i="1"/>
  <c r="E163" i="1"/>
  <c r="G163" i="1"/>
  <c r="H163" i="1"/>
  <c r="J163" i="1"/>
  <c r="K163" i="1"/>
  <c r="C164" i="1"/>
  <c r="D164" i="1"/>
  <c r="E164" i="1"/>
  <c r="G164" i="1"/>
  <c r="H164" i="1"/>
  <c r="J164" i="1"/>
  <c r="K164" i="1"/>
  <c r="C165" i="1"/>
  <c r="D165" i="1"/>
  <c r="E165" i="1"/>
  <c r="G165" i="1"/>
  <c r="H165" i="1"/>
  <c r="J165" i="1"/>
  <c r="K165" i="1"/>
  <c r="C166" i="1"/>
  <c r="D166" i="1"/>
  <c r="E166" i="1"/>
  <c r="G166" i="1"/>
  <c r="H166" i="1"/>
  <c r="J166" i="1"/>
  <c r="K166" i="1"/>
  <c r="C167" i="1"/>
  <c r="D167" i="1"/>
  <c r="E167" i="1"/>
  <c r="G167" i="1"/>
  <c r="H167" i="1"/>
  <c r="J167" i="1"/>
  <c r="K167" i="1"/>
  <c r="C168" i="1"/>
  <c r="D168" i="1"/>
  <c r="E168" i="1"/>
  <c r="G168" i="1"/>
  <c r="H168" i="1"/>
  <c r="J168" i="1"/>
  <c r="K168" i="1"/>
  <c r="C169" i="1"/>
  <c r="D169" i="1"/>
  <c r="E169" i="1"/>
  <c r="G169" i="1"/>
  <c r="H169" i="1"/>
  <c r="J169" i="1"/>
  <c r="K169" i="1"/>
  <c r="C170" i="1"/>
  <c r="D170" i="1"/>
  <c r="E170" i="1"/>
  <c r="G170" i="1"/>
  <c r="H170" i="1"/>
  <c r="J170" i="1"/>
  <c r="K170" i="1"/>
  <c r="C171" i="1"/>
  <c r="D171" i="1"/>
  <c r="E171" i="1"/>
  <c r="G171" i="1"/>
  <c r="H171" i="1"/>
  <c r="J171" i="1"/>
  <c r="K171" i="1"/>
  <c r="C172" i="1"/>
  <c r="D172" i="1"/>
  <c r="E172" i="1"/>
  <c r="G172" i="1"/>
  <c r="H172" i="1"/>
  <c r="J172" i="1"/>
  <c r="K172" i="1"/>
  <c r="C173" i="1"/>
  <c r="D173" i="1"/>
  <c r="E173" i="1"/>
  <c r="G173" i="1"/>
  <c r="H173" i="1"/>
  <c r="J173" i="1"/>
  <c r="K173" i="1"/>
  <c r="C174" i="1"/>
  <c r="D174" i="1"/>
  <c r="E174" i="1"/>
  <c r="F174" i="1"/>
  <c r="G174" i="1"/>
  <c r="H174" i="1"/>
  <c r="J174" i="1"/>
  <c r="K174" i="1"/>
  <c r="C175" i="1"/>
  <c r="D175" i="1"/>
  <c r="E175" i="1"/>
  <c r="F175" i="1"/>
  <c r="G175" i="1"/>
  <c r="H175" i="1"/>
  <c r="J175" i="1"/>
  <c r="K175" i="1"/>
  <c r="C176" i="1"/>
  <c r="D176" i="1"/>
  <c r="E176" i="1"/>
  <c r="F176" i="1"/>
  <c r="G176" i="1"/>
  <c r="H176" i="1"/>
  <c r="J176" i="1"/>
  <c r="K176" i="1"/>
  <c r="C177" i="1"/>
  <c r="E177" i="1"/>
  <c r="G177" i="1"/>
  <c r="H177" i="1"/>
  <c r="J177" i="1"/>
  <c r="K177" i="1"/>
  <c r="C178" i="1"/>
  <c r="E178" i="1"/>
  <c r="G178" i="1"/>
  <c r="H178" i="1"/>
  <c r="J178" i="1"/>
  <c r="K178" i="1"/>
  <c r="C179" i="1"/>
  <c r="E179" i="1"/>
  <c r="G179" i="1"/>
  <c r="H179" i="1"/>
  <c r="J179" i="1"/>
  <c r="K179" i="1"/>
  <c r="C180" i="1"/>
  <c r="E180" i="1"/>
  <c r="G180" i="1"/>
  <c r="H180" i="1"/>
  <c r="J180" i="1"/>
  <c r="K180" i="1"/>
  <c r="C181" i="1"/>
  <c r="E181" i="1"/>
  <c r="G181" i="1"/>
  <c r="H181" i="1"/>
  <c r="J181" i="1"/>
  <c r="K181" i="1"/>
  <c r="C182" i="1"/>
  <c r="E182" i="1"/>
  <c r="G182" i="1"/>
  <c r="H182" i="1"/>
  <c r="J182" i="1"/>
  <c r="K182" i="1"/>
  <c r="C183" i="1"/>
  <c r="D183" i="1"/>
  <c r="E183" i="1"/>
  <c r="G183" i="1"/>
  <c r="H183" i="1"/>
  <c r="J183" i="1"/>
  <c r="K183" i="1"/>
  <c r="C184" i="1"/>
  <c r="E184" i="1"/>
  <c r="G184" i="1"/>
  <c r="H184" i="1"/>
  <c r="J184" i="1"/>
  <c r="K184" i="1"/>
  <c r="C185" i="1"/>
  <c r="E185" i="1"/>
  <c r="F185" i="1"/>
  <c r="G185" i="1"/>
  <c r="H185" i="1"/>
  <c r="J185" i="1"/>
  <c r="K185" i="1"/>
  <c r="C186" i="1"/>
  <c r="E186" i="1"/>
  <c r="G186" i="1"/>
  <c r="H186" i="1"/>
  <c r="I186" i="1"/>
  <c r="J186" i="1"/>
  <c r="K186" i="1"/>
  <c r="C187" i="1"/>
  <c r="E187" i="1"/>
  <c r="G187" i="1"/>
  <c r="H187" i="1"/>
  <c r="I187" i="1"/>
  <c r="J187" i="1"/>
  <c r="K187" i="1"/>
  <c r="C188" i="1"/>
  <c r="E188" i="1"/>
  <c r="G188" i="1"/>
  <c r="H188" i="1"/>
  <c r="J188" i="1"/>
  <c r="K188" i="1"/>
  <c r="C189" i="1"/>
  <c r="E189" i="1"/>
  <c r="G189" i="1"/>
  <c r="H189" i="1"/>
  <c r="J189" i="1"/>
  <c r="K189" i="1"/>
  <c r="C190" i="1"/>
  <c r="E190" i="1"/>
  <c r="G190" i="1"/>
  <c r="H190" i="1"/>
  <c r="J190" i="1"/>
  <c r="K190" i="1"/>
  <c r="C191" i="1"/>
  <c r="E191" i="1"/>
  <c r="F191" i="1"/>
  <c r="G191" i="1"/>
  <c r="H191" i="1"/>
  <c r="J191" i="1"/>
  <c r="K191" i="1"/>
  <c r="C192" i="1"/>
  <c r="E192" i="1"/>
  <c r="F192" i="1"/>
  <c r="G192" i="1"/>
  <c r="H192" i="1"/>
  <c r="J192" i="1"/>
  <c r="K192" i="1"/>
  <c r="C193" i="1"/>
  <c r="E193" i="1"/>
  <c r="G193" i="1"/>
  <c r="H193" i="1"/>
  <c r="J193" i="1"/>
  <c r="K193" i="1"/>
  <c r="C194" i="1"/>
  <c r="E194" i="1"/>
  <c r="G194" i="1"/>
  <c r="H194" i="1"/>
  <c r="J194" i="1"/>
  <c r="K194" i="1"/>
  <c r="C195" i="1"/>
  <c r="E195" i="1"/>
  <c r="G195" i="1"/>
  <c r="H195" i="1"/>
  <c r="J195" i="1"/>
  <c r="K195" i="1"/>
  <c r="C196" i="1"/>
  <c r="E196" i="1"/>
  <c r="G196" i="1"/>
  <c r="H196" i="1"/>
  <c r="J196" i="1"/>
  <c r="K196" i="1"/>
  <c r="C197" i="1"/>
  <c r="E197" i="1"/>
  <c r="G197" i="1"/>
  <c r="H197" i="1"/>
  <c r="J197" i="1"/>
  <c r="K197" i="1"/>
  <c r="C198" i="1"/>
  <c r="E198" i="1"/>
  <c r="F198" i="1"/>
  <c r="G198" i="1"/>
  <c r="H198" i="1"/>
  <c r="J198" i="1"/>
  <c r="K198" i="1"/>
  <c r="C199" i="1"/>
  <c r="E199" i="1"/>
  <c r="G199" i="1"/>
  <c r="H199" i="1"/>
  <c r="J199" i="1"/>
  <c r="K199" i="1"/>
  <c r="C200" i="1"/>
  <c r="E200" i="1"/>
  <c r="G200" i="1"/>
  <c r="H200" i="1"/>
  <c r="J200" i="1"/>
  <c r="K200" i="1"/>
  <c r="C201" i="1"/>
  <c r="E201" i="1"/>
  <c r="G201" i="1"/>
  <c r="H201" i="1"/>
  <c r="J201" i="1"/>
  <c r="K201" i="1"/>
  <c r="C202" i="1"/>
  <c r="E202" i="1"/>
  <c r="G202" i="1"/>
  <c r="H202" i="1"/>
  <c r="J202" i="1"/>
  <c r="K202" i="1"/>
  <c r="C203" i="1"/>
  <c r="E203" i="1"/>
  <c r="F203" i="1"/>
  <c r="G203" i="1"/>
  <c r="H203" i="1"/>
  <c r="J203" i="1"/>
  <c r="K203" i="1"/>
  <c r="C204" i="1"/>
  <c r="E204" i="1"/>
  <c r="F204" i="1"/>
  <c r="G204" i="1"/>
  <c r="H204" i="1"/>
  <c r="J204" i="1"/>
  <c r="K204" i="1"/>
  <c r="C205" i="1"/>
  <c r="E205" i="1"/>
  <c r="G205" i="1"/>
  <c r="H205" i="1"/>
  <c r="J205" i="1"/>
  <c r="K205" i="1"/>
  <c r="C206" i="1"/>
  <c r="E206" i="1"/>
  <c r="G206" i="1"/>
  <c r="H206" i="1"/>
  <c r="J206" i="1"/>
  <c r="K206" i="1"/>
  <c r="C207" i="1"/>
  <c r="E207" i="1"/>
  <c r="G207" i="1"/>
  <c r="H207" i="1"/>
  <c r="J207" i="1"/>
  <c r="K207" i="1"/>
  <c r="C208" i="1"/>
  <c r="E208" i="1"/>
  <c r="G208" i="1"/>
  <c r="H208" i="1"/>
  <c r="J208" i="1"/>
  <c r="K208" i="1"/>
  <c r="C209" i="1"/>
  <c r="E209" i="1"/>
  <c r="G209" i="1"/>
  <c r="H209" i="1"/>
  <c r="J209" i="1"/>
  <c r="K209" i="1"/>
  <c r="C210" i="1"/>
  <c r="E210" i="1"/>
  <c r="G210" i="1"/>
  <c r="H210" i="1"/>
  <c r="J210" i="1"/>
  <c r="K210" i="1"/>
  <c r="C211" i="1"/>
  <c r="E211" i="1"/>
  <c r="F211" i="1"/>
  <c r="G211" i="1"/>
  <c r="H211" i="1"/>
  <c r="J211" i="1"/>
  <c r="K211" i="1"/>
  <c r="C212" i="1"/>
  <c r="E212" i="1"/>
  <c r="G212" i="1"/>
  <c r="H212" i="1"/>
  <c r="J212" i="1"/>
  <c r="K212" i="1"/>
  <c r="C213" i="1"/>
  <c r="E213" i="1"/>
  <c r="G213" i="1"/>
  <c r="H213" i="1"/>
  <c r="J213" i="1"/>
  <c r="K213" i="1"/>
  <c r="C214" i="1"/>
  <c r="E214" i="1"/>
  <c r="F214" i="1"/>
  <c r="G214" i="1"/>
  <c r="H214" i="1"/>
  <c r="J214" i="1"/>
  <c r="K214" i="1"/>
  <c r="C215" i="1"/>
  <c r="D215" i="1"/>
  <c r="E215" i="1"/>
  <c r="G215" i="1"/>
  <c r="H215" i="1"/>
  <c r="J215" i="1"/>
  <c r="K215" i="1"/>
  <c r="C216" i="1"/>
  <c r="D216" i="1"/>
  <c r="E216" i="1"/>
  <c r="G216" i="1"/>
  <c r="H216" i="1"/>
  <c r="J216" i="1"/>
  <c r="K216" i="1"/>
  <c r="C217" i="1"/>
  <c r="E217" i="1"/>
  <c r="G217" i="1"/>
  <c r="H217" i="1"/>
  <c r="J217" i="1"/>
  <c r="K217" i="1"/>
  <c r="C218" i="1"/>
  <c r="E218" i="1"/>
  <c r="F218" i="1"/>
  <c r="G218" i="1"/>
  <c r="H218" i="1"/>
  <c r="J218" i="1"/>
  <c r="K218" i="1"/>
  <c r="C219" i="1"/>
  <c r="E219" i="1"/>
  <c r="F219" i="1"/>
  <c r="G219" i="1"/>
  <c r="H219" i="1"/>
  <c r="J219" i="1"/>
  <c r="K219" i="1"/>
  <c r="C220" i="1"/>
  <c r="E220" i="1"/>
  <c r="F220" i="1"/>
  <c r="G220" i="1"/>
  <c r="H220" i="1"/>
  <c r="J220" i="1"/>
  <c r="K220" i="1"/>
  <c r="C221" i="1"/>
  <c r="E221" i="1"/>
  <c r="G221" i="1"/>
  <c r="H221" i="1"/>
  <c r="J221" i="1"/>
  <c r="K221" i="1"/>
  <c r="C222" i="1"/>
  <c r="E222" i="1"/>
  <c r="G222" i="1"/>
  <c r="H222" i="1"/>
  <c r="J222" i="1"/>
  <c r="K222" i="1"/>
  <c r="C223" i="1"/>
  <c r="E223" i="1"/>
  <c r="F223" i="1"/>
  <c r="G223" i="1"/>
  <c r="H223" i="1"/>
  <c r="J223" i="1"/>
  <c r="K223" i="1"/>
  <c r="C224" i="1"/>
  <c r="E224" i="1"/>
  <c r="G224" i="1"/>
  <c r="H224" i="1"/>
  <c r="J224" i="1"/>
  <c r="K224" i="1"/>
  <c r="C225" i="1"/>
  <c r="E225" i="1"/>
  <c r="F225" i="1"/>
  <c r="G225" i="1"/>
  <c r="H225" i="1"/>
  <c r="J225" i="1"/>
  <c r="K225" i="1"/>
  <c r="C226" i="1"/>
  <c r="D226" i="1"/>
  <c r="E226" i="1"/>
  <c r="G226" i="1"/>
  <c r="H226" i="1"/>
  <c r="J226" i="1"/>
  <c r="K226" i="1"/>
  <c r="C227" i="1"/>
  <c r="D227" i="1"/>
  <c r="E227" i="1"/>
  <c r="G227" i="1"/>
  <c r="H227" i="1"/>
  <c r="J227" i="1"/>
  <c r="K227" i="1"/>
  <c r="C228" i="1"/>
  <c r="D228" i="1"/>
  <c r="E228" i="1"/>
  <c r="G228" i="1"/>
  <c r="H228" i="1"/>
  <c r="J228" i="1"/>
  <c r="K228" i="1"/>
  <c r="C229" i="1"/>
  <c r="E229" i="1"/>
  <c r="G229" i="1"/>
  <c r="H229" i="1"/>
  <c r="J229" i="1"/>
  <c r="K229" i="1"/>
  <c r="C230" i="1"/>
  <c r="E230" i="1"/>
  <c r="G230" i="1"/>
  <c r="H230" i="1"/>
  <c r="J230" i="1"/>
  <c r="K230" i="1"/>
  <c r="C231" i="1"/>
  <c r="E231" i="1"/>
  <c r="G231" i="1"/>
  <c r="H231" i="1"/>
  <c r="J231" i="1"/>
  <c r="K231" i="1"/>
  <c r="C232" i="1"/>
  <c r="E232" i="1"/>
  <c r="G232" i="1"/>
  <c r="H232" i="1"/>
  <c r="J232" i="1"/>
  <c r="K232" i="1"/>
  <c r="C233" i="1"/>
  <c r="D233" i="1"/>
  <c r="E233" i="1"/>
  <c r="G233" i="1"/>
  <c r="H233" i="1"/>
  <c r="J233" i="1"/>
  <c r="K233" i="1"/>
  <c r="C234" i="1"/>
  <c r="E234" i="1"/>
  <c r="G234" i="1"/>
  <c r="H234" i="1"/>
  <c r="J234" i="1"/>
  <c r="K234" i="1"/>
  <c r="C235" i="1"/>
  <c r="E235" i="1"/>
  <c r="G235" i="1"/>
  <c r="H235" i="1"/>
  <c r="J235" i="1"/>
  <c r="K235" i="1"/>
  <c r="C236" i="1"/>
  <c r="D236" i="1"/>
  <c r="E236" i="1"/>
  <c r="G236" i="1"/>
  <c r="H236" i="1"/>
  <c r="J236" i="1"/>
  <c r="K236" i="1"/>
  <c r="C237" i="1"/>
  <c r="E237" i="1"/>
  <c r="G237" i="1"/>
  <c r="H237" i="1"/>
  <c r="J237" i="1"/>
  <c r="K237" i="1"/>
  <c r="C238" i="1"/>
  <c r="E238" i="1"/>
  <c r="G238" i="1"/>
  <c r="H238" i="1"/>
  <c r="J238" i="1"/>
  <c r="K238" i="1"/>
  <c r="C239" i="1"/>
  <c r="E239" i="1"/>
  <c r="G239" i="1"/>
  <c r="H239" i="1"/>
  <c r="J239" i="1"/>
  <c r="K239" i="1"/>
  <c r="C240" i="1"/>
  <c r="E240" i="1"/>
  <c r="F240" i="1"/>
  <c r="G240" i="1"/>
  <c r="H240" i="1"/>
  <c r="J240" i="1"/>
  <c r="K240" i="1"/>
  <c r="C241" i="1"/>
  <c r="E241" i="1"/>
  <c r="F241" i="1"/>
  <c r="G241" i="1"/>
  <c r="H241" i="1"/>
  <c r="J241" i="1"/>
  <c r="K241" i="1"/>
  <c r="C242" i="1"/>
  <c r="E242" i="1"/>
  <c r="F242" i="1"/>
  <c r="G242" i="1"/>
  <c r="H242" i="1"/>
  <c r="J242" i="1"/>
  <c r="K242" i="1"/>
  <c r="C243" i="1"/>
  <c r="E243" i="1"/>
  <c r="G243" i="1"/>
  <c r="H243" i="1"/>
  <c r="J243" i="1"/>
  <c r="K243" i="1"/>
  <c r="C244" i="1"/>
  <c r="D244" i="1"/>
  <c r="E244" i="1"/>
  <c r="F244" i="1"/>
  <c r="G244" i="1"/>
  <c r="H244" i="1"/>
  <c r="J244" i="1"/>
  <c r="K244" i="1"/>
  <c r="C245" i="1"/>
  <c r="E245" i="1"/>
  <c r="F245" i="1"/>
  <c r="G245" i="1"/>
  <c r="H245" i="1"/>
  <c r="J245" i="1"/>
  <c r="K245" i="1"/>
  <c r="C246" i="1"/>
  <c r="E246" i="1"/>
  <c r="F246" i="1"/>
  <c r="G246" i="1"/>
  <c r="H246" i="1"/>
  <c r="J246" i="1"/>
  <c r="K246" i="1"/>
  <c r="C247" i="1"/>
  <c r="E247" i="1"/>
  <c r="F247" i="1"/>
  <c r="G247" i="1"/>
  <c r="H247" i="1"/>
  <c r="J247" i="1"/>
  <c r="K247" i="1"/>
  <c r="C248" i="1"/>
  <c r="D248" i="1"/>
  <c r="E248" i="1"/>
  <c r="F248" i="1"/>
  <c r="G248" i="1"/>
  <c r="H248" i="1"/>
  <c r="J248" i="1"/>
  <c r="K248" i="1"/>
  <c r="C249" i="1"/>
  <c r="D249" i="1"/>
  <c r="E249" i="1"/>
  <c r="F249" i="1"/>
  <c r="G249" i="1"/>
  <c r="H249" i="1"/>
  <c r="J249" i="1"/>
  <c r="K249" i="1"/>
  <c r="C250" i="1"/>
  <c r="D250" i="1"/>
  <c r="E250" i="1"/>
  <c r="G250" i="1"/>
  <c r="H250" i="1"/>
  <c r="J250" i="1"/>
  <c r="K250" i="1"/>
  <c r="C251" i="1"/>
  <c r="D251" i="1"/>
  <c r="E251" i="1"/>
  <c r="G251" i="1"/>
  <c r="H251" i="1"/>
  <c r="J251" i="1"/>
  <c r="K251" i="1"/>
  <c r="C252" i="1"/>
  <c r="D252" i="1"/>
  <c r="E252" i="1"/>
  <c r="G252" i="1"/>
  <c r="H252" i="1"/>
  <c r="J252" i="1"/>
  <c r="K252" i="1"/>
  <c r="C253" i="1"/>
  <c r="D253" i="1"/>
  <c r="E253" i="1"/>
  <c r="G253" i="1"/>
  <c r="H253" i="1"/>
  <c r="J253" i="1"/>
  <c r="K253" i="1"/>
  <c r="C254" i="1"/>
  <c r="D254" i="1"/>
  <c r="E254" i="1"/>
  <c r="G254" i="1"/>
  <c r="H254" i="1"/>
  <c r="J254" i="1"/>
  <c r="K254" i="1"/>
  <c r="C255" i="1"/>
  <c r="D255" i="1"/>
  <c r="E255" i="1"/>
  <c r="G255" i="1"/>
  <c r="H255" i="1"/>
  <c r="J255" i="1"/>
  <c r="K255" i="1"/>
  <c r="C256" i="1"/>
  <c r="D256" i="1"/>
  <c r="E256" i="1"/>
  <c r="G256" i="1"/>
  <c r="H256" i="1"/>
  <c r="J256" i="1"/>
  <c r="K256" i="1"/>
  <c r="C257" i="1"/>
  <c r="D257" i="1"/>
  <c r="E257" i="1"/>
  <c r="G257" i="1"/>
  <c r="H257" i="1"/>
  <c r="J257" i="1"/>
  <c r="K257" i="1"/>
  <c r="C258" i="1"/>
  <c r="D258" i="1"/>
  <c r="E258" i="1"/>
  <c r="G258" i="1"/>
  <c r="H258" i="1"/>
  <c r="J258" i="1"/>
  <c r="K258" i="1"/>
  <c r="C259" i="1"/>
  <c r="D259" i="1"/>
  <c r="E259" i="1"/>
  <c r="G259" i="1"/>
  <c r="H259" i="1"/>
  <c r="J259" i="1"/>
  <c r="K259" i="1"/>
  <c r="C260" i="1"/>
  <c r="E260" i="1"/>
  <c r="G260" i="1"/>
  <c r="H260" i="1"/>
  <c r="J260" i="1"/>
  <c r="K260" i="1"/>
  <c r="C261" i="1"/>
  <c r="E261" i="1"/>
  <c r="G261" i="1"/>
  <c r="H261" i="1"/>
  <c r="J261" i="1"/>
  <c r="K261" i="1"/>
  <c r="C262" i="1"/>
  <c r="E262" i="1"/>
  <c r="G262" i="1"/>
  <c r="H262" i="1"/>
  <c r="J262" i="1"/>
  <c r="K262" i="1"/>
  <c r="C263" i="1"/>
  <c r="E263" i="1"/>
  <c r="G263" i="1"/>
  <c r="H263" i="1"/>
  <c r="J263" i="1"/>
  <c r="K263" i="1"/>
  <c r="C264" i="1"/>
  <c r="E264" i="1"/>
  <c r="G264" i="1"/>
  <c r="H264" i="1"/>
  <c r="J264" i="1"/>
  <c r="K264" i="1"/>
  <c r="C265" i="1"/>
  <c r="E265" i="1"/>
  <c r="G265" i="1"/>
  <c r="H265" i="1"/>
  <c r="J265" i="1"/>
  <c r="K265" i="1"/>
  <c r="C266" i="1"/>
  <c r="E266" i="1"/>
  <c r="G266" i="1"/>
  <c r="H266" i="1"/>
  <c r="J266" i="1"/>
  <c r="K266" i="1"/>
  <c r="C267" i="1"/>
  <c r="E267" i="1"/>
  <c r="G267" i="1"/>
  <c r="H267" i="1"/>
  <c r="J267" i="1"/>
  <c r="K267" i="1"/>
  <c r="C268" i="1"/>
  <c r="E268" i="1"/>
  <c r="G268" i="1"/>
  <c r="H268" i="1"/>
  <c r="J268" i="1"/>
  <c r="K268" i="1"/>
  <c r="C269" i="1"/>
  <c r="E269" i="1"/>
  <c r="G269" i="1"/>
  <c r="H269" i="1"/>
  <c r="J269" i="1"/>
  <c r="K269" i="1"/>
  <c r="C270" i="1"/>
  <c r="D270" i="1"/>
  <c r="E270" i="1"/>
  <c r="G270" i="1"/>
  <c r="H270" i="1"/>
  <c r="J270" i="1"/>
  <c r="K270" i="1"/>
  <c r="C271" i="1"/>
  <c r="E271" i="1"/>
  <c r="G271" i="1"/>
  <c r="H271" i="1"/>
  <c r="J271" i="1"/>
  <c r="K271" i="1"/>
  <c r="C272" i="1"/>
  <c r="E272" i="1"/>
  <c r="G272" i="1"/>
  <c r="H272" i="1"/>
  <c r="J272" i="1"/>
  <c r="K272" i="1"/>
  <c r="C273" i="1"/>
  <c r="E273" i="1"/>
  <c r="G273" i="1"/>
  <c r="H273" i="1"/>
  <c r="J273" i="1"/>
  <c r="K273" i="1"/>
  <c r="C274" i="1"/>
  <c r="E274" i="1"/>
  <c r="G274" i="1"/>
  <c r="H274" i="1"/>
  <c r="J274" i="1"/>
  <c r="K274" i="1"/>
  <c r="C275" i="1"/>
  <c r="E275" i="1"/>
  <c r="F275" i="1"/>
  <c r="G275" i="1"/>
  <c r="H275" i="1"/>
  <c r="J275" i="1"/>
  <c r="K275" i="1"/>
  <c r="C276" i="1"/>
  <c r="E276" i="1"/>
  <c r="F276" i="1"/>
  <c r="G276" i="1"/>
  <c r="H276" i="1"/>
  <c r="J276" i="1"/>
  <c r="K276" i="1"/>
  <c r="C277" i="1"/>
  <c r="D277" i="1"/>
  <c r="E277" i="1"/>
  <c r="G277" i="1"/>
  <c r="H277" i="1"/>
  <c r="J277" i="1"/>
  <c r="K277" i="1"/>
  <c r="C278" i="1"/>
  <c r="D278" i="1"/>
  <c r="E278" i="1"/>
  <c r="G278" i="1"/>
  <c r="H278" i="1"/>
  <c r="J278" i="1"/>
  <c r="K278" i="1"/>
  <c r="C279" i="1"/>
  <c r="D279" i="1"/>
  <c r="E279" i="1"/>
  <c r="G279" i="1"/>
  <c r="H279" i="1"/>
  <c r="J279" i="1"/>
  <c r="K279" i="1"/>
  <c r="C280" i="1"/>
  <c r="D280" i="1"/>
  <c r="E280" i="1"/>
  <c r="G280" i="1"/>
  <c r="H280" i="1"/>
  <c r="J280" i="1"/>
  <c r="K280" i="1"/>
  <c r="C281" i="1"/>
  <c r="D281" i="1"/>
  <c r="E281" i="1"/>
  <c r="G281" i="1"/>
  <c r="H281" i="1"/>
  <c r="J281" i="1"/>
  <c r="K281" i="1"/>
  <c r="C282" i="1"/>
  <c r="D282" i="1"/>
  <c r="E282" i="1"/>
  <c r="G282" i="1"/>
  <c r="H282" i="1"/>
  <c r="J282" i="1"/>
  <c r="K282" i="1"/>
  <c r="C283" i="1"/>
  <c r="D283" i="1"/>
  <c r="E283" i="1"/>
  <c r="G283" i="1"/>
  <c r="H283" i="1"/>
  <c r="J283" i="1"/>
  <c r="K283" i="1"/>
  <c r="C284" i="1"/>
  <c r="D284" i="1"/>
  <c r="E284" i="1"/>
  <c r="G284" i="1"/>
  <c r="H284" i="1"/>
  <c r="J284" i="1"/>
  <c r="K284" i="1"/>
  <c r="C285" i="1"/>
  <c r="D285" i="1"/>
  <c r="E285" i="1"/>
  <c r="G285" i="1"/>
  <c r="H285" i="1"/>
  <c r="J285" i="1"/>
  <c r="K285" i="1"/>
  <c r="C286" i="1"/>
  <c r="D286" i="1"/>
  <c r="E286" i="1"/>
  <c r="G286" i="1"/>
  <c r="H286" i="1"/>
  <c r="J286" i="1"/>
  <c r="K286" i="1"/>
  <c r="C287" i="1"/>
  <c r="D287" i="1"/>
  <c r="E287" i="1"/>
  <c r="G287" i="1"/>
  <c r="H287" i="1"/>
  <c r="J287" i="1"/>
  <c r="K287" i="1"/>
  <c r="C288" i="1"/>
  <c r="D288" i="1"/>
  <c r="E288" i="1"/>
  <c r="G288" i="1"/>
  <c r="H288" i="1"/>
  <c r="J288" i="1"/>
  <c r="K288" i="1"/>
  <c r="C289" i="1"/>
  <c r="D289" i="1"/>
  <c r="E289" i="1"/>
  <c r="G289" i="1"/>
  <c r="H289" i="1"/>
  <c r="J289" i="1"/>
  <c r="K289" i="1"/>
  <c r="C290" i="1"/>
  <c r="D290" i="1"/>
  <c r="E290" i="1"/>
  <c r="G290" i="1"/>
  <c r="H290" i="1"/>
  <c r="J290" i="1"/>
  <c r="K290" i="1"/>
  <c r="C291" i="1"/>
  <c r="D291" i="1"/>
  <c r="E291" i="1"/>
  <c r="G291" i="1"/>
  <c r="H291" i="1"/>
  <c r="J291" i="1"/>
  <c r="K291" i="1"/>
  <c r="C292" i="1"/>
  <c r="D292" i="1"/>
  <c r="E292" i="1"/>
  <c r="G292" i="1"/>
  <c r="H292" i="1"/>
  <c r="J292" i="1"/>
  <c r="K292" i="1"/>
  <c r="C293" i="1"/>
  <c r="D293" i="1"/>
  <c r="E293" i="1"/>
  <c r="G293" i="1"/>
  <c r="H293" i="1"/>
  <c r="J293" i="1"/>
  <c r="K293" i="1"/>
  <c r="C294" i="1"/>
  <c r="D294" i="1"/>
  <c r="E294" i="1"/>
  <c r="G294" i="1"/>
  <c r="H294" i="1"/>
  <c r="J294" i="1"/>
  <c r="K294" i="1"/>
  <c r="C295" i="1"/>
  <c r="D295" i="1"/>
  <c r="E295" i="1"/>
  <c r="G295" i="1"/>
  <c r="H295" i="1"/>
  <c r="J295" i="1"/>
  <c r="K295" i="1"/>
  <c r="C296" i="1"/>
  <c r="D296" i="1"/>
  <c r="E296" i="1"/>
  <c r="G296" i="1"/>
  <c r="H296" i="1"/>
  <c r="J296" i="1"/>
  <c r="K296" i="1"/>
  <c r="C297" i="1"/>
  <c r="D297" i="1"/>
  <c r="E297" i="1"/>
  <c r="G297" i="1"/>
  <c r="H297" i="1"/>
  <c r="J297" i="1"/>
  <c r="K297" i="1"/>
  <c r="C298" i="1"/>
  <c r="D298" i="1"/>
  <c r="E298" i="1"/>
  <c r="G298" i="1"/>
  <c r="H298" i="1"/>
  <c r="J298" i="1"/>
  <c r="K298" i="1"/>
  <c r="C299" i="1"/>
  <c r="D299" i="1"/>
  <c r="E299" i="1"/>
  <c r="G299" i="1"/>
  <c r="H299" i="1"/>
  <c r="J299" i="1"/>
  <c r="K299" i="1"/>
  <c r="C300" i="1"/>
  <c r="D300" i="1"/>
  <c r="E300" i="1"/>
  <c r="G300" i="1"/>
  <c r="H300" i="1"/>
  <c r="J300" i="1"/>
  <c r="K300" i="1"/>
  <c r="C301" i="1"/>
  <c r="D301" i="1"/>
  <c r="E301" i="1"/>
  <c r="G301" i="1"/>
  <c r="H301" i="1"/>
  <c r="J301" i="1"/>
  <c r="K301" i="1"/>
  <c r="C302" i="1"/>
  <c r="D302" i="1"/>
  <c r="E302" i="1"/>
  <c r="G302" i="1"/>
  <c r="H302" i="1"/>
  <c r="J302" i="1"/>
  <c r="K302" i="1"/>
  <c r="C303" i="1"/>
  <c r="D303" i="1"/>
  <c r="E303" i="1"/>
  <c r="G303" i="1"/>
  <c r="H303" i="1"/>
  <c r="J303" i="1"/>
  <c r="K303" i="1"/>
  <c r="C304" i="1"/>
  <c r="D304" i="1"/>
  <c r="E304" i="1"/>
  <c r="G304" i="1"/>
  <c r="H304" i="1"/>
  <c r="J304" i="1"/>
  <c r="K304" i="1"/>
  <c r="C305" i="1"/>
  <c r="D305" i="1"/>
  <c r="E305" i="1"/>
  <c r="G305" i="1"/>
  <c r="H305" i="1"/>
  <c r="J305" i="1"/>
  <c r="K305" i="1"/>
  <c r="C306" i="1"/>
  <c r="D306" i="1"/>
  <c r="E306" i="1"/>
  <c r="G306" i="1"/>
  <c r="H306" i="1"/>
  <c r="J306" i="1"/>
  <c r="K306" i="1"/>
  <c r="C307" i="1"/>
  <c r="D307" i="1"/>
  <c r="E307" i="1"/>
  <c r="G307" i="1"/>
  <c r="H307" i="1"/>
  <c r="J307" i="1"/>
  <c r="K307" i="1"/>
  <c r="C308" i="1"/>
  <c r="D308" i="1"/>
  <c r="E308" i="1"/>
  <c r="G308" i="1"/>
  <c r="H308" i="1"/>
  <c r="J308" i="1"/>
  <c r="K308" i="1"/>
  <c r="C309" i="1"/>
  <c r="D309" i="1"/>
  <c r="E309" i="1"/>
  <c r="G309" i="1"/>
  <c r="H309" i="1"/>
  <c r="J309" i="1"/>
  <c r="K309" i="1"/>
  <c r="C310" i="1"/>
  <c r="D310" i="1"/>
  <c r="E310" i="1"/>
  <c r="G310" i="1"/>
  <c r="H310" i="1"/>
  <c r="J310" i="1"/>
  <c r="K310" i="1"/>
  <c r="C311" i="1"/>
  <c r="D311" i="1"/>
  <c r="E311" i="1"/>
  <c r="G311" i="1"/>
  <c r="H311" i="1"/>
  <c r="J311" i="1"/>
  <c r="K311" i="1"/>
  <c r="C312" i="1"/>
  <c r="D312" i="1"/>
  <c r="E312" i="1"/>
  <c r="G312" i="1"/>
  <c r="H312" i="1"/>
  <c r="J312" i="1"/>
  <c r="K312" i="1"/>
  <c r="C313" i="1"/>
  <c r="D313" i="1"/>
  <c r="E313" i="1"/>
  <c r="G313" i="1"/>
  <c r="H313" i="1"/>
  <c r="J313" i="1"/>
  <c r="K313" i="1"/>
  <c r="C314" i="1"/>
  <c r="D314" i="1"/>
  <c r="E314" i="1"/>
  <c r="G314" i="1"/>
  <c r="H314" i="1"/>
  <c r="J314" i="1"/>
  <c r="K314" i="1"/>
  <c r="C315" i="1"/>
  <c r="D315" i="1"/>
  <c r="E315" i="1"/>
  <c r="G315" i="1"/>
  <c r="H315" i="1"/>
  <c r="J315" i="1"/>
  <c r="K315" i="1"/>
  <c r="C316" i="1"/>
  <c r="D316" i="1"/>
  <c r="E316" i="1"/>
  <c r="G316" i="1"/>
  <c r="H316" i="1"/>
  <c r="J316" i="1"/>
  <c r="K316" i="1"/>
  <c r="C317" i="1"/>
  <c r="D317" i="1"/>
  <c r="E317" i="1"/>
  <c r="G317" i="1"/>
  <c r="H317" i="1"/>
  <c r="J317" i="1"/>
  <c r="K317" i="1"/>
  <c r="C318" i="1"/>
  <c r="D318" i="1"/>
  <c r="E318" i="1"/>
  <c r="F318" i="1"/>
  <c r="G318" i="1"/>
  <c r="H318" i="1"/>
  <c r="J318" i="1"/>
  <c r="K318" i="1"/>
  <c r="C319" i="1"/>
  <c r="E319" i="1"/>
  <c r="F319" i="1"/>
  <c r="G319" i="1"/>
  <c r="H319" i="1"/>
  <c r="J319" i="1"/>
  <c r="K319" i="1"/>
  <c r="C320" i="1"/>
  <c r="E320" i="1"/>
  <c r="F320" i="1"/>
  <c r="G320" i="1"/>
  <c r="H320" i="1"/>
  <c r="J320" i="1"/>
  <c r="K320" i="1"/>
  <c r="C321" i="1"/>
  <c r="E321" i="1"/>
  <c r="F321" i="1"/>
  <c r="G321" i="1"/>
  <c r="H321" i="1"/>
  <c r="J321" i="1"/>
  <c r="K321" i="1"/>
  <c r="C322" i="1"/>
  <c r="E322" i="1"/>
  <c r="F322" i="1"/>
  <c r="G322" i="1"/>
  <c r="H322" i="1"/>
  <c r="J322" i="1"/>
  <c r="K322" i="1"/>
  <c r="C323" i="1"/>
  <c r="E323" i="1"/>
  <c r="F323" i="1"/>
  <c r="G323" i="1"/>
  <c r="H323" i="1"/>
  <c r="J323" i="1"/>
  <c r="K323" i="1"/>
  <c r="C324" i="1"/>
  <c r="E324" i="1"/>
  <c r="F324" i="1"/>
  <c r="G324" i="1"/>
  <c r="H324" i="1"/>
  <c r="J324" i="1"/>
  <c r="K324" i="1"/>
  <c r="C325" i="1"/>
  <c r="E325" i="1"/>
  <c r="F325" i="1"/>
  <c r="G325" i="1"/>
  <c r="H325" i="1"/>
  <c r="J325" i="1"/>
  <c r="K325" i="1"/>
  <c r="C326" i="1"/>
  <c r="D326" i="1"/>
  <c r="E326" i="1"/>
  <c r="G326" i="1"/>
  <c r="H326" i="1"/>
  <c r="J326" i="1"/>
  <c r="K326" i="1"/>
  <c r="C327" i="1"/>
  <c r="D327" i="1"/>
  <c r="E327" i="1"/>
  <c r="G327" i="1"/>
  <c r="H327" i="1"/>
  <c r="J327" i="1"/>
  <c r="K327" i="1"/>
  <c r="C328" i="1"/>
  <c r="D328" i="1"/>
  <c r="E328" i="1"/>
  <c r="G328" i="1"/>
  <c r="H328" i="1"/>
  <c r="J328" i="1"/>
  <c r="K328" i="1"/>
  <c r="C329" i="1"/>
  <c r="D329" i="1"/>
  <c r="E329" i="1"/>
  <c r="G329" i="1"/>
  <c r="H329" i="1"/>
  <c r="J329" i="1"/>
  <c r="K329" i="1"/>
  <c r="C330" i="1"/>
  <c r="D330" i="1"/>
  <c r="E330" i="1"/>
  <c r="G330" i="1"/>
  <c r="H330" i="1"/>
  <c r="J330" i="1"/>
  <c r="K330" i="1"/>
  <c r="C331" i="1"/>
  <c r="D331" i="1"/>
  <c r="E331" i="1"/>
  <c r="G331" i="1"/>
  <c r="H331" i="1"/>
  <c r="J331" i="1"/>
  <c r="K331" i="1"/>
  <c r="C332" i="1"/>
  <c r="D332" i="1"/>
  <c r="E332" i="1"/>
  <c r="G332" i="1"/>
  <c r="H332" i="1"/>
  <c r="J332" i="1"/>
  <c r="K332" i="1"/>
  <c r="C333" i="1"/>
  <c r="D333" i="1"/>
  <c r="E333" i="1"/>
  <c r="F333" i="1"/>
  <c r="G333" i="1"/>
  <c r="H333" i="1"/>
  <c r="J333" i="1"/>
  <c r="K333" i="1"/>
  <c r="C334" i="1"/>
  <c r="D334" i="1"/>
  <c r="E334" i="1"/>
  <c r="F334" i="1"/>
  <c r="G334" i="1"/>
  <c r="H334" i="1"/>
  <c r="J334" i="1"/>
  <c r="K334" i="1"/>
  <c r="C335" i="1"/>
  <c r="D335" i="1"/>
  <c r="E335" i="1"/>
  <c r="F335" i="1"/>
  <c r="G335" i="1"/>
  <c r="H335" i="1"/>
  <c r="J335" i="1"/>
  <c r="K335" i="1"/>
  <c r="C336" i="1"/>
  <c r="D336" i="1"/>
  <c r="E336" i="1"/>
  <c r="F336" i="1"/>
  <c r="G336" i="1"/>
  <c r="H336" i="1"/>
  <c r="J336" i="1"/>
  <c r="K336" i="1"/>
  <c r="C337" i="1"/>
  <c r="D337" i="1"/>
  <c r="E337" i="1"/>
  <c r="F337" i="1"/>
  <c r="G337" i="1"/>
  <c r="H337" i="1"/>
  <c r="J337" i="1"/>
  <c r="K337" i="1"/>
  <c r="C338" i="1"/>
  <c r="D338" i="1"/>
  <c r="E338" i="1"/>
  <c r="F338" i="1"/>
  <c r="G338" i="1"/>
  <c r="H338" i="1"/>
  <c r="J338" i="1"/>
  <c r="K338" i="1"/>
  <c r="C339" i="1"/>
  <c r="D339" i="1"/>
  <c r="E339" i="1"/>
  <c r="F339" i="1"/>
  <c r="G339" i="1"/>
  <c r="H339" i="1"/>
  <c r="J339" i="1"/>
  <c r="K339" i="1"/>
  <c r="C340" i="1"/>
  <c r="E340" i="1"/>
  <c r="F340" i="1"/>
  <c r="G340" i="1"/>
  <c r="H340" i="1"/>
  <c r="J340" i="1"/>
  <c r="K340" i="1"/>
  <c r="C341" i="1"/>
  <c r="E341" i="1"/>
  <c r="F341" i="1"/>
  <c r="G341" i="1"/>
  <c r="H341" i="1"/>
  <c r="J341" i="1"/>
  <c r="K341" i="1"/>
  <c r="C342" i="1"/>
  <c r="E342" i="1"/>
  <c r="F342" i="1"/>
  <c r="G342" i="1"/>
  <c r="H342" i="1"/>
  <c r="J342" i="1"/>
  <c r="K342" i="1"/>
  <c r="C343" i="1"/>
  <c r="E343" i="1"/>
  <c r="F343" i="1"/>
  <c r="G343" i="1"/>
  <c r="H343" i="1"/>
  <c r="J343" i="1"/>
  <c r="K343" i="1"/>
  <c r="C344" i="1"/>
  <c r="E344" i="1"/>
  <c r="F344" i="1"/>
  <c r="G344" i="1"/>
  <c r="H344" i="1"/>
  <c r="J344" i="1"/>
  <c r="K344" i="1"/>
  <c r="C345" i="1"/>
  <c r="E345" i="1"/>
  <c r="F345" i="1"/>
  <c r="G345" i="1"/>
  <c r="H345" i="1"/>
  <c r="J345" i="1"/>
  <c r="K345" i="1"/>
  <c r="C346" i="1"/>
  <c r="E346" i="1"/>
  <c r="F346" i="1"/>
  <c r="G346" i="1"/>
  <c r="H346" i="1"/>
  <c r="J346" i="1"/>
  <c r="K346" i="1"/>
  <c r="C347" i="1"/>
  <c r="E347" i="1"/>
  <c r="F347" i="1"/>
  <c r="G347" i="1"/>
  <c r="H347" i="1"/>
  <c r="J347" i="1"/>
  <c r="K347" i="1"/>
  <c r="C348" i="1"/>
  <c r="E348" i="1"/>
  <c r="F348" i="1"/>
  <c r="G348" i="1"/>
  <c r="H348" i="1"/>
  <c r="J348" i="1"/>
  <c r="K348" i="1"/>
  <c r="C349" i="1"/>
  <c r="E349" i="1"/>
  <c r="F349" i="1"/>
  <c r="G349" i="1"/>
  <c r="H349" i="1"/>
  <c r="J349" i="1"/>
  <c r="K349" i="1"/>
  <c r="C350" i="1"/>
  <c r="E350" i="1"/>
  <c r="F350" i="1"/>
  <c r="G350" i="1"/>
  <c r="H350" i="1"/>
  <c r="J350" i="1"/>
  <c r="K350" i="1"/>
  <c r="C351" i="1"/>
  <c r="E351" i="1"/>
  <c r="F351" i="1"/>
  <c r="G351" i="1"/>
  <c r="H351" i="1"/>
  <c r="J351" i="1"/>
  <c r="K351" i="1"/>
  <c r="C352" i="1"/>
  <c r="D352" i="1"/>
  <c r="E352" i="1"/>
  <c r="F352" i="1"/>
  <c r="G352" i="1"/>
  <c r="H352" i="1"/>
  <c r="J352" i="1"/>
  <c r="K352" i="1"/>
  <c r="C353" i="1"/>
  <c r="E353" i="1"/>
  <c r="F353" i="1"/>
  <c r="G353" i="1"/>
  <c r="H353" i="1"/>
  <c r="J353" i="1"/>
  <c r="K353" i="1"/>
  <c r="C354" i="1"/>
  <c r="E354" i="1"/>
  <c r="F354" i="1"/>
  <c r="G354" i="1"/>
  <c r="H354" i="1"/>
  <c r="J354" i="1"/>
  <c r="K354" i="1"/>
  <c r="C355" i="1"/>
  <c r="E355" i="1"/>
  <c r="F355" i="1"/>
  <c r="G355" i="1"/>
  <c r="H355" i="1"/>
  <c r="J355" i="1"/>
  <c r="K355" i="1"/>
  <c r="C356" i="1"/>
  <c r="E356" i="1"/>
  <c r="F356" i="1"/>
  <c r="G356" i="1"/>
  <c r="H356" i="1"/>
  <c r="J356" i="1"/>
  <c r="K356" i="1"/>
  <c r="C357" i="1"/>
  <c r="E357" i="1"/>
  <c r="F357" i="1"/>
  <c r="G357" i="1"/>
  <c r="H357" i="1"/>
  <c r="J357" i="1"/>
  <c r="K357" i="1"/>
  <c r="C358" i="1"/>
  <c r="E358" i="1"/>
  <c r="F358" i="1"/>
  <c r="G358" i="1"/>
  <c r="H358" i="1"/>
  <c r="J358" i="1"/>
  <c r="K358" i="1"/>
  <c r="C359" i="1"/>
  <c r="E359" i="1"/>
  <c r="F359" i="1"/>
  <c r="G359" i="1"/>
  <c r="H359" i="1"/>
  <c r="J359" i="1"/>
  <c r="K359" i="1"/>
  <c r="C360" i="1"/>
  <c r="E360" i="1"/>
  <c r="F360" i="1"/>
  <c r="G360" i="1"/>
  <c r="H360" i="1"/>
  <c r="J360" i="1"/>
  <c r="K360" i="1"/>
  <c r="C361" i="1"/>
  <c r="E361" i="1"/>
  <c r="F361" i="1"/>
  <c r="G361" i="1"/>
  <c r="H361" i="1"/>
  <c r="J361" i="1"/>
  <c r="K361" i="1"/>
  <c r="C362" i="1"/>
  <c r="E362" i="1"/>
  <c r="F362" i="1"/>
  <c r="G362" i="1"/>
  <c r="H362" i="1"/>
  <c r="J362" i="1"/>
  <c r="K362" i="1"/>
  <c r="C363" i="1"/>
  <c r="E363" i="1"/>
  <c r="F363" i="1"/>
  <c r="G363" i="1"/>
  <c r="H363" i="1"/>
  <c r="J363" i="1"/>
  <c r="K363" i="1"/>
  <c r="C364" i="1"/>
  <c r="E364" i="1"/>
  <c r="F364" i="1"/>
  <c r="G364" i="1"/>
  <c r="H364" i="1"/>
  <c r="J364" i="1"/>
  <c r="K364" i="1"/>
  <c r="C365" i="1"/>
  <c r="E365" i="1"/>
  <c r="F365" i="1"/>
  <c r="G365" i="1"/>
  <c r="H365" i="1"/>
  <c r="J365" i="1"/>
  <c r="K365" i="1"/>
  <c r="C366" i="1"/>
  <c r="E366" i="1"/>
  <c r="G366" i="1"/>
  <c r="H366" i="1"/>
  <c r="J366" i="1"/>
  <c r="K366" i="1"/>
  <c r="C367" i="1"/>
  <c r="E367" i="1"/>
  <c r="G367" i="1"/>
  <c r="H367" i="1"/>
  <c r="J367" i="1"/>
  <c r="K367" i="1"/>
  <c r="C368" i="1"/>
  <c r="E368" i="1"/>
  <c r="G368" i="1"/>
  <c r="H368" i="1"/>
  <c r="J368" i="1"/>
  <c r="K368" i="1"/>
  <c r="C369" i="1"/>
  <c r="E369" i="1"/>
  <c r="G369" i="1"/>
  <c r="H369" i="1"/>
  <c r="J369" i="1"/>
  <c r="K369" i="1"/>
  <c r="C370" i="1"/>
  <c r="E370" i="1"/>
  <c r="G370" i="1"/>
  <c r="H370" i="1"/>
  <c r="J370" i="1"/>
  <c r="K370" i="1"/>
  <c r="C371" i="1"/>
  <c r="E371" i="1"/>
  <c r="G371" i="1"/>
  <c r="H371" i="1"/>
  <c r="J371" i="1"/>
  <c r="K371" i="1"/>
  <c r="C372" i="1"/>
  <c r="E372" i="1"/>
  <c r="G372" i="1"/>
  <c r="H372" i="1"/>
  <c r="J372" i="1"/>
  <c r="K372" i="1"/>
  <c r="C373" i="1"/>
  <c r="E373" i="1"/>
  <c r="G373" i="1"/>
  <c r="H373" i="1"/>
  <c r="J373" i="1"/>
  <c r="K373" i="1"/>
  <c r="C374" i="1"/>
  <c r="E374" i="1"/>
  <c r="G374" i="1"/>
  <c r="H374" i="1"/>
  <c r="J374" i="1"/>
  <c r="K374" i="1"/>
  <c r="C375" i="1"/>
  <c r="E375" i="1"/>
  <c r="G375" i="1"/>
  <c r="H375" i="1"/>
  <c r="J375" i="1"/>
  <c r="K375" i="1"/>
  <c r="C376" i="1"/>
  <c r="E376" i="1"/>
  <c r="F376" i="1"/>
  <c r="G376" i="1"/>
  <c r="H376" i="1"/>
  <c r="J376" i="1"/>
  <c r="K376" i="1"/>
  <c r="C377" i="1"/>
  <c r="E377" i="1"/>
  <c r="F377" i="1"/>
  <c r="G377" i="1"/>
  <c r="H377" i="1"/>
  <c r="J377" i="1"/>
  <c r="K377" i="1"/>
  <c r="C378" i="1"/>
  <c r="E378" i="1"/>
  <c r="G378" i="1"/>
  <c r="H378" i="1"/>
  <c r="J378" i="1"/>
  <c r="K378" i="1"/>
  <c r="C379" i="1"/>
  <c r="D379" i="1"/>
  <c r="E379" i="1"/>
  <c r="G379" i="1"/>
  <c r="H379" i="1"/>
  <c r="J379" i="1"/>
  <c r="K379" i="1"/>
  <c r="C380" i="1"/>
  <c r="D380" i="1"/>
  <c r="E380" i="1"/>
  <c r="G380" i="1"/>
  <c r="H380" i="1"/>
  <c r="J380" i="1"/>
  <c r="K380" i="1"/>
  <c r="C381" i="1"/>
  <c r="D381" i="1"/>
  <c r="E381" i="1"/>
  <c r="F381" i="1"/>
  <c r="G381" i="1"/>
  <c r="H381" i="1"/>
  <c r="J381" i="1"/>
  <c r="K381" i="1"/>
  <c r="C382" i="1"/>
  <c r="D382" i="1"/>
  <c r="E382" i="1"/>
  <c r="G382" i="1"/>
  <c r="H382" i="1"/>
  <c r="J382" i="1"/>
  <c r="K382" i="1"/>
  <c r="C383" i="1"/>
  <c r="D383" i="1"/>
  <c r="E383" i="1"/>
  <c r="G383" i="1"/>
  <c r="H383" i="1"/>
  <c r="J383" i="1"/>
  <c r="K383" i="1"/>
  <c r="C384" i="1"/>
  <c r="D384" i="1"/>
  <c r="E384" i="1"/>
  <c r="G384" i="1"/>
  <c r="H384" i="1"/>
  <c r="J384" i="1"/>
  <c r="K384" i="1"/>
  <c r="C385" i="1"/>
  <c r="E385" i="1"/>
  <c r="G385" i="1"/>
  <c r="H385" i="1"/>
  <c r="J385" i="1"/>
  <c r="K385" i="1"/>
  <c r="C386" i="1"/>
  <c r="E386" i="1"/>
  <c r="G386" i="1"/>
  <c r="H386" i="1"/>
  <c r="J386" i="1"/>
  <c r="K386" i="1"/>
  <c r="C387" i="1"/>
  <c r="E387" i="1"/>
  <c r="G387" i="1"/>
  <c r="H387" i="1"/>
  <c r="J387" i="1"/>
  <c r="K387" i="1"/>
  <c r="C388" i="1"/>
  <c r="E388" i="1"/>
  <c r="G388" i="1"/>
  <c r="H388" i="1"/>
  <c r="J388" i="1"/>
  <c r="K388" i="1"/>
  <c r="C389" i="1"/>
  <c r="D389" i="1"/>
  <c r="E389" i="1"/>
  <c r="F389" i="1"/>
  <c r="G389" i="1"/>
  <c r="H389" i="1"/>
  <c r="J389" i="1"/>
  <c r="K389" i="1"/>
  <c r="C390" i="1"/>
  <c r="D390" i="1"/>
  <c r="E390" i="1"/>
  <c r="G390" i="1"/>
  <c r="H390" i="1"/>
  <c r="J390" i="1"/>
  <c r="K390" i="1"/>
  <c r="C391" i="1"/>
  <c r="D391" i="1"/>
  <c r="E391" i="1"/>
  <c r="G391" i="1"/>
  <c r="H391" i="1"/>
  <c r="J391" i="1"/>
  <c r="K391" i="1"/>
  <c r="C392" i="1"/>
  <c r="D392" i="1"/>
  <c r="E392" i="1"/>
  <c r="G392" i="1"/>
  <c r="H392" i="1"/>
  <c r="J392" i="1"/>
  <c r="K392" i="1"/>
  <c r="C393" i="1"/>
  <c r="D393" i="1"/>
  <c r="E393" i="1"/>
  <c r="G393" i="1"/>
  <c r="H393" i="1"/>
  <c r="J393" i="1"/>
  <c r="K393" i="1"/>
  <c r="C394" i="1"/>
  <c r="D394" i="1"/>
  <c r="E394" i="1"/>
  <c r="F394" i="1"/>
  <c r="G394" i="1"/>
  <c r="H394" i="1"/>
  <c r="J394" i="1"/>
  <c r="K394" i="1"/>
  <c r="C395" i="1"/>
  <c r="D395" i="1"/>
  <c r="E395" i="1"/>
  <c r="F395" i="1"/>
  <c r="G395" i="1"/>
  <c r="H395" i="1"/>
  <c r="J395" i="1"/>
  <c r="K395" i="1"/>
  <c r="C396" i="1"/>
  <c r="D396" i="1"/>
  <c r="E396" i="1"/>
  <c r="G396" i="1"/>
  <c r="H396" i="1"/>
  <c r="J396" i="1"/>
  <c r="K396" i="1"/>
  <c r="C397" i="1"/>
  <c r="D397" i="1"/>
  <c r="E397" i="1"/>
  <c r="G397" i="1"/>
  <c r="H397" i="1"/>
  <c r="J397" i="1"/>
  <c r="K397" i="1"/>
  <c r="C398" i="1"/>
  <c r="D398" i="1"/>
  <c r="E398" i="1"/>
  <c r="F398" i="1"/>
  <c r="G398" i="1"/>
  <c r="H398" i="1"/>
  <c r="J398" i="1"/>
  <c r="K398" i="1"/>
  <c r="C399" i="1"/>
  <c r="D399" i="1"/>
  <c r="E399" i="1"/>
  <c r="F399" i="1"/>
  <c r="G399" i="1"/>
  <c r="H399" i="1"/>
  <c r="J399" i="1"/>
  <c r="K399" i="1"/>
  <c r="C400" i="1"/>
  <c r="D400" i="1"/>
  <c r="E400" i="1"/>
  <c r="F400" i="1"/>
  <c r="G400" i="1"/>
  <c r="H400" i="1"/>
  <c r="J400" i="1"/>
  <c r="K400" i="1"/>
  <c r="C401" i="1"/>
  <c r="D401" i="1"/>
  <c r="E401" i="1"/>
  <c r="F401" i="1"/>
  <c r="G401" i="1"/>
  <c r="H401" i="1"/>
  <c r="J401" i="1"/>
  <c r="K401" i="1"/>
  <c r="C402" i="1"/>
  <c r="D402" i="1"/>
  <c r="E402" i="1"/>
  <c r="F402" i="1"/>
  <c r="G402" i="1"/>
  <c r="H402" i="1"/>
  <c r="J402" i="1"/>
  <c r="K402" i="1"/>
  <c r="C403" i="1"/>
  <c r="D403" i="1"/>
  <c r="E403" i="1"/>
  <c r="F403" i="1"/>
  <c r="G403" i="1"/>
  <c r="H403" i="1"/>
  <c r="J403" i="1"/>
  <c r="K403" i="1"/>
  <c r="C404" i="1"/>
  <c r="D404" i="1"/>
  <c r="E404" i="1"/>
  <c r="F404" i="1"/>
  <c r="G404" i="1"/>
  <c r="H404" i="1"/>
  <c r="J404" i="1"/>
  <c r="K404" i="1"/>
  <c r="C405" i="1"/>
  <c r="D405" i="1"/>
  <c r="E405" i="1"/>
  <c r="F405" i="1"/>
  <c r="G405" i="1"/>
  <c r="H405" i="1"/>
  <c r="J405" i="1"/>
  <c r="K405" i="1"/>
  <c r="C406" i="1"/>
  <c r="D406" i="1"/>
  <c r="E406" i="1"/>
  <c r="F406" i="1"/>
  <c r="G406" i="1"/>
  <c r="H406" i="1"/>
  <c r="J406" i="1"/>
  <c r="K406" i="1"/>
  <c r="C407" i="1"/>
  <c r="D407" i="1"/>
  <c r="E407" i="1"/>
  <c r="F407" i="1"/>
  <c r="G407" i="1"/>
  <c r="H407" i="1"/>
  <c r="J407" i="1"/>
  <c r="K407" i="1"/>
  <c r="C408" i="1"/>
  <c r="D408" i="1"/>
  <c r="E408" i="1"/>
  <c r="G408" i="1"/>
  <c r="H408" i="1"/>
  <c r="J408" i="1"/>
  <c r="K408" i="1"/>
  <c r="C409" i="1"/>
  <c r="D409" i="1"/>
  <c r="E409" i="1"/>
  <c r="G409" i="1"/>
  <c r="H409" i="1"/>
  <c r="J409" i="1"/>
  <c r="K409" i="1"/>
  <c r="C410" i="1"/>
  <c r="D410" i="1"/>
  <c r="E410" i="1"/>
  <c r="G410" i="1"/>
  <c r="H410" i="1"/>
  <c r="J410" i="1"/>
  <c r="K410" i="1"/>
  <c r="C411" i="1"/>
  <c r="D411" i="1"/>
  <c r="E411" i="1"/>
  <c r="G411" i="1"/>
  <c r="H411" i="1"/>
  <c r="J411" i="1"/>
  <c r="K411" i="1"/>
  <c r="C412" i="1"/>
  <c r="D412" i="1"/>
  <c r="E412" i="1"/>
  <c r="G412" i="1"/>
  <c r="H412" i="1"/>
  <c r="J412" i="1"/>
  <c r="K412" i="1"/>
  <c r="C413" i="1"/>
  <c r="D413" i="1"/>
  <c r="E413" i="1"/>
  <c r="G413" i="1"/>
  <c r="H413" i="1"/>
  <c r="J413" i="1"/>
  <c r="K413" i="1"/>
  <c r="C414" i="1"/>
  <c r="D414" i="1"/>
  <c r="E414" i="1"/>
  <c r="G414" i="1"/>
  <c r="H414" i="1"/>
  <c r="J414" i="1"/>
  <c r="K414" i="1"/>
  <c r="C415" i="1"/>
  <c r="D415" i="1"/>
  <c r="E415" i="1"/>
  <c r="G415" i="1"/>
  <c r="H415" i="1"/>
  <c r="J415" i="1"/>
  <c r="K415" i="1"/>
  <c r="C416" i="1"/>
  <c r="D416" i="1"/>
  <c r="E416" i="1"/>
  <c r="F416" i="1"/>
  <c r="G416" i="1"/>
  <c r="H416" i="1"/>
  <c r="J416" i="1"/>
  <c r="K416" i="1"/>
  <c r="C417" i="1"/>
  <c r="D417" i="1"/>
  <c r="E417" i="1"/>
  <c r="F417" i="1"/>
  <c r="G417" i="1"/>
  <c r="H417" i="1"/>
  <c r="J417" i="1"/>
  <c r="K417" i="1"/>
  <c r="C418" i="1"/>
  <c r="D418" i="1"/>
  <c r="E418" i="1"/>
  <c r="F418" i="1"/>
  <c r="G418" i="1"/>
  <c r="H418" i="1"/>
  <c r="J418" i="1"/>
  <c r="K418" i="1"/>
  <c r="C419" i="1"/>
  <c r="D419" i="1"/>
  <c r="E419" i="1"/>
  <c r="F419" i="1"/>
  <c r="G419" i="1"/>
  <c r="H419" i="1"/>
  <c r="J419" i="1"/>
  <c r="K419" i="1"/>
  <c r="C420" i="1"/>
  <c r="D420" i="1"/>
  <c r="E420" i="1"/>
  <c r="F420" i="1"/>
  <c r="G420" i="1"/>
  <c r="H420" i="1"/>
  <c r="J420" i="1"/>
  <c r="K420" i="1"/>
  <c r="C421" i="1"/>
  <c r="D421" i="1"/>
  <c r="E421" i="1"/>
  <c r="F421" i="1"/>
  <c r="G421" i="1"/>
  <c r="H421" i="1"/>
  <c r="J421" i="1"/>
  <c r="K421" i="1"/>
  <c r="C422" i="1"/>
  <c r="D422" i="1"/>
  <c r="E422" i="1"/>
  <c r="F422" i="1"/>
  <c r="G422" i="1"/>
  <c r="H422" i="1"/>
  <c r="J422" i="1"/>
  <c r="K422" i="1"/>
  <c r="C423" i="1"/>
  <c r="D423" i="1"/>
  <c r="E423" i="1"/>
  <c r="F423" i="1"/>
  <c r="G423" i="1"/>
  <c r="H423" i="1"/>
  <c r="J423" i="1"/>
  <c r="K423" i="1"/>
  <c r="C424" i="1"/>
  <c r="D424" i="1"/>
  <c r="E424" i="1"/>
  <c r="F424" i="1"/>
  <c r="G424" i="1"/>
  <c r="H424" i="1"/>
  <c r="J424" i="1"/>
  <c r="K424" i="1"/>
  <c r="C425" i="1"/>
  <c r="D425" i="1"/>
  <c r="E425" i="1"/>
  <c r="F425" i="1"/>
  <c r="G425" i="1"/>
  <c r="H425" i="1"/>
  <c r="J425" i="1"/>
  <c r="K425" i="1"/>
  <c r="C426" i="1"/>
  <c r="D426" i="1"/>
  <c r="E426" i="1"/>
  <c r="F426" i="1"/>
  <c r="G426" i="1"/>
  <c r="H426" i="1"/>
  <c r="J426" i="1"/>
  <c r="K426" i="1"/>
  <c r="C427" i="1"/>
  <c r="D427" i="1"/>
  <c r="E427" i="1"/>
  <c r="F427" i="1"/>
  <c r="G427" i="1"/>
  <c r="H427" i="1"/>
  <c r="J427" i="1"/>
  <c r="K427" i="1"/>
  <c r="C428" i="1"/>
  <c r="D428" i="1"/>
  <c r="E428" i="1"/>
  <c r="F428" i="1"/>
  <c r="G428" i="1"/>
  <c r="H428" i="1"/>
  <c r="J428" i="1"/>
  <c r="K428" i="1"/>
  <c r="C429" i="1"/>
  <c r="D429" i="1"/>
  <c r="E429" i="1"/>
  <c r="G429" i="1"/>
  <c r="H429" i="1"/>
  <c r="J429" i="1"/>
  <c r="K429" i="1"/>
  <c r="C430" i="1"/>
  <c r="D430" i="1"/>
  <c r="E430" i="1"/>
  <c r="G430" i="1"/>
  <c r="H430" i="1"/>
  <c r="J430" i="1"/>
  <c r="K430" i="1"/>
  <c r="C431" i="1"/>
  <c r="D431" i="1"/>
  <c r="E431" i="1"/>
  <c r="G431" i="1"/>
  <c r="H431" i="1"/>
  <c r="J431" i="1"/>
  <c r="K431" i="1"/>
  <c r="C432" i="1"/>
  <c r="D432" i="1"/>
  <c r="E432" i="1"/>
  <c r="G432" i="1"/>
  <c r="H432" i="1"/>
  <c r="J432" i="1"/>
  <c r="K432" i="1"/>
  <c r="C433" i="1"/>
  <c r="D433" i="1"/>
  <c r="E433" i="1"/>
  <c r="G433" i="1"/>
  <c r="H433" i="1"/>
  <c r="J433" i="1"/>
  <c r="K433" i="1"/>
  <c r="C434" i="1"/>
  <c r="D434" i="1"/>
  <c r="E434" i="1"/>
  <c r="G434" i="1"/>
  <c r="H434" i="1"/>
  <c r="J434" i="1"/>
  <c r="K434" i="1"/>
  <c r="C435" i="1"/>
  <c r="D435" i="1"/>
  <c r="E435" i="1"/>
  <c r="G435" i="1"/>
  <c r="H435" i="1"/>
  <c r="J435" i="1"/>
  <c r="K435" i="1"/>
  <c r="C436" i="1"/>
  <c r="D436" i="1"/>
  <c r="E436" i="1"/>
  <c r="G436" i="1"/>
  <c r="H436" i="1"/>
  <c r="J436" i="1"/>
  <c r="K436" i="1"/>
  <c r="C437" i="1"/>
  <c r="D437" i="1"/>
  <c r="E437" i="1"/>
  <c r="G437" i="1"/>
  <c r="H437" i="1"/>
  <c r="J437" i="1"/>
  <c r="K437" i="1"/>
  <c r="C438" i="1"/>
  <c r="D438" i="1"/>
  <c r="E438" i="1"/>
  <c r="G438" i="1"/>
  <c r="H438" i="1"/>
  <c r="J438" i="1"/>
  <c r="K438" i="1"/>
  <c r="C439" i="1"/>
  <c r="D439" i="1"/>
  <c r="E439" i="1"/>
  <c r="G439" i="1"/>
  <c r="H439" i="1"/>
  <c r="J439" i="1"/>
  <c r="K439" i="1"/>
  <c r="C440" i="1"/>
  <c r="D440" i="1"/>
  <c r="E440" i="1"/>
  <c r="G440" i="1"/>
  <c r="H440" i="1"/>
  <c r="J440" i="1"/>
  <c r="K440" i="1"/>
  <c r="C441" i="1"/>
  <c r="D441" i="1"/>
  <c r="E441" i="1"/>
  <c r="G441" i="1"/>
  <c r="H441" i="1"/>
  <c r="J441" i="1"/>
  <c r="K441" i="1"/>
  <c r="C442" i="1"/>
  <c r="D442" i="1"/>
  <c r="E442" i="1"/>
  <c r="F442" i="1"/>
  <c r="G442" i="1"/>
  <c r="H442" i="1"/>
  <c r="J442" i="1"/>
  <c r="K442" i="1"/>
  <c r="C443" i="1"/>
  <c r="D443" i="1"/>
  <c r="E443" i="1"/>
  <c r="F443" i="1"/>
  <c r="G443" i="1"/>
  <c r="H443" i="1"/>
  <c r="J443" i="1"/>
  <c r="K443" i="1"/>
  <c r="C444" i="1"/>
  <c r="D444" i="1"/>
  <c r="E444" i="1"/>
  <c r="F444" i="1"/>
  <c r="G444" i="1"/>
  <c r="H444" i="1"/>
  <c r="J444" i="1"/>
  <c r="K444" i="1"/>
  <c r="C445" i="1"/>
  <c r="D445" i="1"/>
  <c r="E445" i="1"/>
  <c r="F445" i="1"/>
  <c r="G445" i="1"/>
  <c r="H445" i="1"/>
  <c r="J445" i="1"/>
  <c r="K445" i="1"/>
  <c r="C446" i="1"/>
  <c r="D446" i="1"/>
  <c r="E446" i="1"/>
  <c r="F446" i="1"/>
  <c r="G446" i="1"/>
  <c r="H446" i="1"/>
  <c r="J446" i="1"/>
  <c r="K446" i="1"/>
  <c r="C447" i="1"/>
  <c r="D447" i="1"/>
  <c r="E447" i="1"/>
  <c r="F447" i="1"/>
  <c r="G447" i="1"/>
  <c r="H447" i="1"/>
  <c r="J447" i="1"/>
  <c r="K447" i="1"/>
  <c r="C448" i="1"/>
  <c r="D448" i="1"/>
  <c r="E448" i="1"/>
  <c r="F448" i="1"/>
  <c r="G448" i="1"/>
  <c r="H448" i="1"/>
  <c r="J448" i="1"/>
  <c r="K448" i="1"/>
  <c r="C449" i="1"/>
  <c r="D449" i="1"/>
  <c r="E449" i="1"/>
  <c r="F449" i="1"/>
  <c r="G449" i="1"/>
  <c r="H449" i="1"/>
  <c r="J449" i="1"/>
  <c r="K449" i="1"/>
  <c r="C450" i="1"/>
  <c r="D450" i="1"/>
  <c r="E450" i="1"/>
  <c r="F450" i="1"/>
  <c r="G450" i="1"/>
  <c r="H450" i="1"/>
  <c r="J450" i="1"/>
  <c r="K450" i="1"/>
  <c r="C451" i="1"/>
  <c r="D451" i="1"/>
  <c r="E451" i="1"/>
  <c r="F451" i="1"/>
  <c r="G451" i="1"/>
  <c r="H451" i="1"/>
  <c r="J451" i="1"/>
  <c r="K451" i="1"/>
  <c r="C452" i="1"/>
  <c r="D452" i="1"/>
  <c r="E452" i="1"/>
  <c r="F452" i="1"/>
  <c r="G452" i="1"/>
  <c r="H452" i="1"/>
  <c r="J452" i="1"/>
  <c r="K452" i="1"/>
  <c r="C453" i="1"/>
  <c r="D453" i="1"/>
  <c r="E453" i="1"/>
  <c r="F453" i="1"/>
  <c r="G453" i="1"/>
  <c r="H453" i="1"/>
  <c r="J453" i="1"/>
  <c r="K453" i="1"/>
  <c r="C454" i="1"/>
  <c r="D454" i="1"/>
  <c r="E454" i="1"/>
  <c r="F454" i="1"/>
  <c r="G454" i="1"/>
  <c r="H454" i="1"/>
  <c r="J454" i="1"/>
  <c r="K454" i="1"/>
  <c r="C455" i="1"/>
  <c r="D455" i="1"/>
  <c r="E455" i="1"/>
  <c r="F455" i="1"/>
  <c r="G455" i="1"/>
  <c r="H455" i="1"/>
  <c r="J455" i="1"/>
  <c r="K455" i="1"/>
  <c r="C456" i="1"/>
  <c r="D456" i="1"/>
  <c r="E456" i="1"/>
  <c r="F456" i="1"/>
  <c r="G456" i="1"/>
  <c r="H456" i="1"/>
  <c r="J456" i="1"/>
  <c r="K456" i="1"/>
  <c r="C457" i="1"/>
  <c r="D457" i="1"/>
  <c r="E457" i="1"/>
  <c r="F457" i="1"/>
  <c r="G457" i="1"/>
  <c r="H457" i="1"/>
  <c r="J457" i="1"/>
  <c r="K457" i="1"/>
  <c r="C458" i="1"/>
  <c r="D458" i="1"/>
  <c r="E458" i="1"/>
  <c r="F458" i="1"/>
  <c r="G458" i="1"/>
  <c r="H458" i="1"/>
  <c r="J458" i="1"/>
  <c r="K458" i="1"/>
  <c r="C459" i="1"/>
  <c r="D459" i="1"/>
  <c r="E459" i="1"/>
  <c r="F459" i="1"/>
  <c r="G459" i="1"/>
  <c r="H459" i="1"/>
  <c r="J459" i="1"/>
  <c r="K459" i="1"/>
  <c r="C460" i="1"/>
  <c r="D460" i="1"/>
  <c r="E460" i="1"/>
  <c r="F460" i="1"/>
  <c r="G460" i="1"/>
  <c r="H460" i="1"/>
  <c r="J460" i="1"/>
  <c r="K460" i="1"/>
  <c r="C461" i="1"/>
  <c r="D461" i="1"/>
  <c r="E461" i="1"/>
  <c r="F461" i="1"/>
  <c r="G461" i="1"/>
  <c r="H461" i="1"/>
  <c r="J461" i="1"/>
  <c r="K461" i="1"/>
  <c r="C462" i="1"/>
  <c r="D462" i="1"/>
  <c r="E462" i="1"/>
  <c r="F462" i="1"/>
  <c r="G462" i="1"/>
  <c r="H462" i="1"/>
  <c r="J462" i="1"/>
  <c r="K462" i="1"/>
  <c r="C463" i="1"/>
  <c r="D463" i="1"/>
  <c r="E463" i="1"/>
  <c r="F463" i="1"/>
  <c r="G463" i="1"/>
  <c r="H463" i="1"/>
  <c r="J463" i="1"/>
  <c r="K463" i="1"/>
  <c r="C464" i="1"/>
  <c r="D464" i="1"/>
  <c r="E464" i="1"/>
  <c r="F464" i="1"/>
  <c r="G464" i="1"/>
  <c r="H464" i="1"/>
  <c r="J464" i="1"/>
  <c r="K464" i="1"/>
  <c r="C465" i="1"/>
  <c r="D465" i="1"/>
  <c r="E465" i="1"/>
  <c r="F465" i="1"/>
  <c r="G465" i="1"/>
  <c r="H465" i="1"/>
  <c r="J465" i="1"/>
  <c r="K465" i="1"/>
  <c r="C466" i="1"/>
  <c r="D466" i="1"/>
  <c r="E466" i="1"/>
  <c r="F466" i="1"/>
  <c r="G466" i="1"/>
  <c r="H466" i="1"/>
  <c r="J466" i="1"/>
  <c r="K466" i="1"/>
  <c r="C467" i="1"/>
  <c r="D467" i="1"/>
  <c r="E467" i="1"/>
  <c r="F467" i="1"/>
  <c r="G467" i="1"/>
  <c r="H467" i="1"/>
  <c r="J467" i="1"/>
  <c r="K467" i="1"/>
  <c r="C468" i="1"/>
  <c r="D468" i="1"/>
  <c r="E468" i="1"/>
  <c r="F468" i="1"/>
  <c r="G468" i="1"/>
  <c r="H468" i="1"/>
  <c r="J468" i="1"/>
  <c r="K468" i="1"/>
  <c r="C469" i="1"/>
  <c r="D469" i="1"/>
  <c r="E469" i="1"/>
  <c r="F469" i="1"/>
  <c r="G469" i="1"/>
  <c r="H469" i="1"/>
  <c r="J469" i="1"/>
  <c r="K469" i="1"/>
  <c r="C470" i="1"/>
  <c r="D470" i="1"/>
  <c r="E470" i="1"/>
  <c r="F470" i="1"/>
  <c r="G470" i="1"/>
  <c r="H470" i="1"/>
  <c r="J470" i="1"/>
  <c r="K470" i="1"/>
  <c r="C471" i="1"/>
  <c r="D471" i="1"/>
  <c r="E471" i="1"/>
  <c r="F471" i="1"/>
  <c r="G471" i="1"/>
  <c r="H471" i="1"/>
  <c r="J471" i="1"/>
  <c r="K471" i="1"/>
  <c r="C472" i="1"/>
  <c r="D472" i="1"/>
  <c r="E472" i="1"/>
  <c r="F472" i="1"/>
  <c r="G472" i="1"/>
  <c r="H472" i="1"/>
  <c r="J472" i="1"/>
  <c r="K472" i="1"/>
  <c r="C473" i="1"/>
  <c r="D473" i="1"/>
  <c r="E473" i="1"/>
  <c r="F473" i="1"/>
  <c r="G473" i="1"/>
  <c r="H473" i="1"/>
  <c r="J473" i="1"/>
  <c r="K473" i="1"/>
  <c r="C474" i="1"/>
  <c r="D474" i="1"/>
  <c r="E474" i="1"/>
  <c r="F474" i="1"/>
  <c r="G474" i="1"/>
  <c r="H474" i="1"/>
  <c r="J474" i="1"/>
  <c r="K474" i="1"/>
  <c r="C475" i="1"/>
  <c r="D475" i="1"/>
  <c r="E475" i="1"/>
  <c r="F475" i="1"/>
  <c r="G475" i="1"/>
  <c r="H475" i="1"/>
  <c r="J475" i="1"/>
  <c r="K475" i="1"/>
  <c r="C476" i="1"/>
  <c r="D476" i="1"/>
  <c r="E476" i="1"/>
  <c r="F476" i="1"/>
  <c r="G476" i="1"/>
  <c r="H476" i="1"/>
  <c r="J476" i="1"/>
  <c r="K476" i="1"/>
  <c r="C477" i="1"/>
  <c r="D477" i="1"/>
  <c r="E477" i="1"/>
  <c r="F477" i="1"/>
  <c r="G477" i="1"/>
  <c r="H477" i="1"/>
  <c r="J477" i="1"/>
  <c r="K477" i="1"/>
  <c r="C478" i="1"/>
  <c r="D478" i="1"/>
  <c r="E478" i="1"/>
  <c r="F478" i="1"/>
  <c r="G478" i="1"/>
  <c r="H478" i="1"/>
  <c r="J478" i="1"/>
  <c r="K478" i="1"/>
  <c r="C479" i="1"/>
  <c r="D479" i="1"/>
  <c r="E479" i="1"/>
  <c r="F479" i="1"/>
  <c r="G479" i="1"/>
  <c r="H479" i="1"/>
  <c r="J479" i="1"/>
  <c r="K479" i="1"/>
  <c r="C480" i="1"/>
  <c r="D480" i="1"/>
  <c r="E480" i="1"/>
  <c r="F480" i="1"/>
  <c r="G480" i="1"/>
  <c r="H480" i="1"/>
  <c r="J480" i="1"/>
  <c r="K480" i="1"/>
  <c r="C481" i="1"/>
  <c r="D481" i="1"/>
  <c r="E481" i="1"/>
  <c r="F481" i="1"/>
  <c r="G481" i="1"/>
  <c r="H481" i="1"/>
  <c r="J481" i="1"/>
  <c r="K481" i="1"/>
  <c r="C482" i="1"/>
  <c r="D482" i="1"/>
  <c r="E482" i="1"/>
  <c r="F482" i="1"/>
  <c r="G482" i="1"/>
  <c r="H482" i="1"/>
  <c r="J482" i="1"/>
  <c r="K482" i="1"/>
  <c r="C483" i="1"/>
  <c r="D483" i="1"/>
  <c r="E483" i="1"/>
  <c r="F483" i="1"/>
  <c r="G483" i="1"/>
  <c r="H483" i="1"/>
  <c r="J483" i="1"/>
  <c r="K483" i="1"/>
  <c r="C484" i="1"/>
  <c r="D484" i="1"/>
  <c r="E484" i="1"/>
  <c r="F484" i="1"/>
  <c r="G484" i="1"/>
  <c r="H484" i="1"/>
  <c r="J484" i="1"/>
  <c r="K484" i="1"/>
  <c r="C485" i="1"/>
  <c r="D485" i="1"/>
  <c r="E485" i="1"/>
  <c r="F485" i="1"/>
  <c r="G485" i="1"/>
  <c r="H485" i="1"/>
  <c r="J485" i="1"/>
  <c r="K485" i="1"/>
  <c r="C486" i="1"/>
  <c r="D486" i="1"/>
  <c r="E486" i="1"/>
  <c r="F486" i="1"/>
  <c r="G486" i="1"/>
  <c r="H486" i="1"/>
  <c r="J486" i="1"/>
  <c r="K486" i="1"/>
  <c r="C487" i="1"/>
  <c r="D487" i="1"/>
  <c r="E487" i="1"/>
  <c r="F487" i="1"/>
  <c r="G487" i="1"/>
  <c r="H487" i="1"/>
  <c r="J487" i="1"/>
  <c r="K487" i="1"/>
  <c r="C488" i="1"/>
  <c r="D488" i="1"/>
  <c r="E488" i="1"/>
  <c r="F488" i="1"/>
  <c r="G488" i="1"/>
  <c r="H488" i="1"/>
  <c r="J488" i="1"/>
  <c r="K488" i="1"/>
  <c r="C489" i="1"/>
  <c r="D489" i="1"/>
  <c r="E489" i="1"/>
  <c r="F489" i="1"/>
  <c r="G489" i="1"/>
  <c r="H489" i="1"/>
  <c r="J489" i="1"/>
  <c r="K489" i="1"/>
  <c r="C490" i="1"/>
  <c r="D490" i="1"/>
  <c r="E490" i="1"/>
  <c r="F490" i="1"/>
  <c r="G490" i="1"/>
  <c r="H490" i="1"/>
  <c r="J490" i="1"/>
  <c r="K490" i="1"/>
  <c r="C491" i="1"/>
  <c r="D491" i="1"/>
  <c r="E491" i="1"/>
  <c r="F491" i="1"/>
  <c r="G491" i="1"/>
  <c r="H491" i="1"/>
  <c r="J491" i="1"/>
  <c r="K491" i="1"/>
  <c r="C492" i="1"/>
  <c r="D492" i="1"/>
  <c r="E492" i="1"/>
  <c r="F492" i="1"/>
  <c r="G492" i="1"/>
  <c r="H492" i="1"/>
  <c r="J492" i="1"/>
  <c r="K492" i="1"/>
  <c r="C493" i="1"/>
  <c r="D493" i="1"/>
  <c r="E493" i="1"/>
  <c r="F493" i="1"/>
  <c r="G493" i="1"/>
  <c r="H493" i="1"/>
  <c r="J493" i="1"/>
  <c r="K493" i="1"/>
  <c r="C494" i="1"/>
  <c r="D494" i="1"/>
  <c r="E494" i="1"/>
  <c r="F494" i="1"/>
  <c r="G494" i="1"/>
  <c r="H494" i="1"/>
  <c r="J494" i="1"/>
  <c r="K494" i="1"/>
  <c r="C495" i="1"/>
  <c r="D495" i="1"/>
  <c r="E495" i="1"/>
  <c r="F495" i="1"/>
  <c r="G495" i="1"/>
  <c r="H495" i="1"/>
  <c r="J495" i="1"/>
  <c r="K495" i="1"/>
  <c r="C496" i="1"/>
  <c r="D496" i="1"/>
  <c r="E496" i="1"/>
  <c r="F496" i="1"/>
  <c r="G496" i="1"/>
  <c r="H496" i="1"/>
  <c r="J496" i="1"/>
  <c r="K496" i="1"/>
  <c r="C497" i="1"/>
  <c r="D497" i="1"/>
  <c r="E497" i="1"/>
  <c r="G497" i="1"/>
  <c r="H497" i="1"/>
  <c r="J497" i="1"/>
  <c r="K497" i="1"/>
  <c r="C498" i="1"/>
  <c r="D498" i="1"/>
  <c r="E498" i="1"/>
  <c r="G498" i="1"/>
  <c r="H498" i="1"/>
  <c r="J498" i="1"/>
  <c r="K498" i="1"/>
  <c r="C499" i="1"/>
  <c r="D499" i="1"/>
  <c r="E499" i="1"/>
  <c r="G499" i="1"/>
  <c r="H499" i="1"/>
  <c r="J499" i="1"/>
  <c r="K499" i="1"/>
  <c r="C500" i="1"/>
  <c r="D500" i="1"/>
  <c r="E500" i="1"/>
  <c r="G500" i="1"/>
  <c r="H500" i="1"/>
  <c r="J500" i="1"/>
  <c r="K500" i="1"/>
  <c r="C501" i="1"/>
  <c r="D501" i="1"/>
  <c r="E501" i="1"/>
  <c r="G501" i="1"/>
  <c r="H501" i="1"/>
  <c r="J501" i="1"/>
  <c r="K501" i="1"/>
  <c r="C502" i="1"/>
  <c r="D502" i="1"/>
  <c r="E502" i="1"/>
  <c r="G502" i="1"/>
  <c r="H502" i="1"/>
  <c r="J502" i="1"/>
  <c r="K502" i="1"/>
  <c r="C503" i="1"/>
  <c r="D503" i="1"/>
  <c r="E503" i="1"/>
  <c r="G503" i="1"/>
  <c r="H503" i="1"/>
  <c r="J503" i="1"/>
  <c r="K503" i="1"/>
  <c r="C504" i="1"/>
  <c r="D504" i="1"/>
  <c r="E504" i="1"/>
  <c r="G504" i="1"/>
  <c r="H504" i="1"/>
  <c r="J504" i="1"/>
  <c r="K504" i="1"/>
  <c r="C505" i="1"/>
  <c r="D505" i="1"/>
  <c r="E505" i="1"/>
  <c r="G505" i="1"/>
  <c r="H505" i="1"/>
  <c r="J505" i="1"/>
  <c r="K505" i="1"/>
  <c r="C506" i="1"/>
  <c r="D506" i="1"/>
  <c r="E506" i="1"/>
  <c r="G506" i="1"/>
  <c r="H506" i="1"/>
  <c r="J506" i="1"/>
  <c r="K506" i="1"/>
  <c r="C507" i="1"/>
  <c r="D507" i="1"/>
  <c r="E507" i="1"/>
  <c r="G507" i="1"/>
  <c r="H507" i="1"/>
  <c r="J507" i="1"/>
  <c r="K507" i="1"/>
  <c r="C508" i="1"/>
  <c r="D508" i="1"/>
  <c r="E508" i="1"/>
  <c r="G508" i="1"/>
  <c r="H508" i="1"/>
  <c r="J508" i="1"/>
  <c r="K508" i="1"/>
  <c r="C509" i="1"/>
  <c r="D509" i="1"/>
  <c r="E509" i="1"/>
  <c r="G509" i="1"/>
  <c r="H509" i="1"/>
  <c r="J509" i="1"/>
  <c r="K509" i="1"/>
  <c r="C510" i="1"/>
  <c r="D510" i="1"/>
  <c r="E510" i="1"/>
  <c r="G510" i="1"/>
  <c r="H510" i="1"/>
  <c r="J510" i="1"/>
  <c r="K510" i="1"/>
  <c r="C511" i="1"/>
  <c r="D511" i="1"/>
  <c r="E511" i="1"/>
  <c r="G511" i="1"/>
  <c r="H511" i="1"/>
  <c r="J511" i="1"/>
  <c r="K511" i="1"/>
  <c r="C512" i="1"/>
  <c r="D512" i="1"/>
  <c r="E512" i="1"/>
  <c r="G512" i="1"/>
  <c r="H512" i="1"/>
  <c r="J512" i="1"/>
  <c r="K512" i="1"/>
  <c r="C513" i="1"/>
  <c r="D513" i="1"/>
  <c r="E513" i="1"/>
  <c r="G513" i="1"/>
  <c r="H513" i="1"/>
  <c r="J513" i="1"/>
  <c r="K513" i="1"/>
  <c r="C514" i="1"/>
  <c r="D514" i="1"/>
  <c r="E514" i="1"/>
  <c r="G514" i="1"/>
  <c r="H514" i="1"/>
  <c r="J514" i="1"/>
  <c r="K514" i="1"/>
  <c r="C515" i="1"/>
  <c r="D515" i="1"/>
  <c r="E515" i="1"/>
  <c r="G515" i="1"/>
  <c r="H515" i="1"/>
  <c r="J515" i="1"/>
  <c r="K515" i="1"/>
  <c r="C516" i="1"/>
  <c r="D516" i="1"/>
  <c r="E516" i="1"/>
  <c r="G516" i="1"/>
  <c r="H516" i="1"/>
  <c r="J516" i="1"/>
  <c r="K516" i="1"/>
  <c r="C517" i="1"/>
  <c r="D517" i="1"/>
  <c r="E517" i="1"/>
  <c r="G517" i="1"/>
  <c r="H517" i="1"/>
  <c r="J517" i="1"/>
  <c r="K517" i="1"/>
  <c r="C518" i="1"/>
  <c r="D518" i="1"/>
  <c r="E518" i="1"/>
  <c r="G518" i="1"/>
  <c r="H518" i="1"/>
  <c r="J518" i="1"/>
  <c r="K518" i="1"/>
  <c r="C519" i="1"/>
  <c r="D519" i="1"/>
  <c r="E519" i="1"/>
  <c r="G519" i="1"/>
  <c r="H519" i="1"/>
  <c r="J519" i="1"/>
  <c r="K519" i="1"/>
  <c r="C520" i="1"/>
  <c r="D520" i="1"/>
  <c r="E520" i="1"/>
  <c r="G520" i="1"/>
  <c r="H520" i="1"/>
  <c r="J520" i="1"/>
  <c r="K520" i="1"/>
  <c r="C521" i="1"/>
  <c r="D521" i="1"/>
  <c r="E521" i="1"/>
  <c r="G521" i="1"/>
  <c r="H521" i="1"/>
  <c r="J521" i="1"/>
  <c r="K521" i="1"/>
  <c r="C522" i="1"/>
  <c r="D522" i="1"/>
  <c r="E522" i="1"/>
  <c r="G522" i="1"/>
  <c r="H522" i="1"/>
  <c r="J522" i="1"/>
  <c r="K522" i="1"/>
  <c r="C523" i="1"/>
  <c r="D523" i="1"/>
  <c r="E523" i="1"/>
  <c r="G523" i="1"/>
  <c r="H523" i="1"/>
  <c r="J523" i="1"/>
  <c r="K523" i="1"/>
  <c r="C524" i="1"/>
  <c r="D524" i="1"/>
  <c r="E524" i="1"/>
  <c r="G524" i="1"/>
  <c r="H524" i="1"/>
  <c r="J524" i="1"/>
  <c r="K524" i="1"/>
  <c r="C525" i="1"/>
  <c r="D525" i="1"/>
  <c r="E525" i="1"/>
  <c r="F525" i="1"/>
  <c r="G525" i="1"/>
  <c r="H525" i="1"/>
  <c r="J525" i="1"/>
  <c r="K525" i="1"/>
  <c r="C526" i="1"/>
  <c r="D526" i="1"/>
  <c r="E526" i="1"/>
  <c r="G526" i="1"/>
  <c r="H526" i="1"/>
  <c r="J526" i="1"/>
  <c r="K526" i="1"/>
  <c r="C527" i="1"/>
  <c r="D527" i="1"/>
  <c r="E527" i="1"/>
  <c r="G527" i="1"/>
  <c r="H527" i="1"/>
  <c r="J527" i="1"/>
  <c r="K527" i="1"/>
  <c r="C528" i="1"/>
  <c r="D528" i="1"/>
  <c r="E528" i="1"/>
  <c r="G528" i="1"/>
  <c r="H528" i="1"/>
  <c r="J528" i="1"/>
  <c r="K528" i="1"/>
  <c r="C529" i="1"/>
  <c r="D529" i="1"/>
  <c r="E529" i="1"/>
  <c r="G529" i="1"/>
  <c r="H529" i="1"/>
  <c r="J529" i="1"/>
  <c r="K529" i="1"/>
  <c r="C530" i="1"/>
  <c r="D530" i="1"/>
  <c r="E530" i="1"/>
  <c r="G530" i="1"/>
  <c r="H530" i="1"/>
  <c r="J530" i="1"/>
  <c r="K530" i="1"/>
  <c r="C531" i="1"/>
  <c r="D531" i="1"/>
  <c r="E531" i="1"/>
  <c r="G531" i="1"/>
  <c r="H531" i="1"/>
  <c r="J531" i="1"/>
  <c r="K531" i="1"/>
  <c r="C532" i="1"/>
  <c r="D532" i="1"/>
  <c r="E532" i="1"/>
  <c r="G532" i="1"/>
  <c r="H532" i="1"/>
  <c r="J532" i="1"/>
  <c r="K532" i="1"/>
  <c r="C533" i="1"/>
  <c r="D533" i="1"/>
  <c r="E533" i="1"/>
  <c r="G533" i="1"/>
  <c r="H533" i="1"/>
  <c r="J533" i="1"/>
  <c r="K533" i="1"/>
  <c r="C534" i="1"/>
  <c r="D534" i="1"/>
  <c r="E534" i="1"/>
  <c r="G534" i="1"/>
  <c r="H534" i="1"/>
  <c r="J534" i="1"/>
  <c r="K534" i="1"/>
  <c r="C535" i="1"/>
  <c r="D535" i="1"/>
  <c r="E535" i="1"/>
  <c r="G535" i="1"/>
  <c r="H535" i="1"/>
  <c r="J535" i="1"/>
  <c r="K535" i="1"/>
  <c r="C536" i="1"/>
  <c r="D536" i="1"/>
  <c r="E536" i="1"/>
  <c r="G536" i="1"/>
  <c r="H536" i="1"/>
  <c r="J536" i="1"/>
  <c r="K536" i="1"/>
  <c r="C537" i="1"/>
  <c r="D537" i="1"/>
  <c r="E537" i="1"/>
  <c r="G537" i="1"/>
  <c r="H537" i="1"/>
  <c r="J537" i="1"/>
  <c r="K537" i="1"/>
  <c r="C538" i="1"/>
  <c r="E538" i="1"/>
  <c r="G538" i="1"/>
  <c r="H538" i="1"/>
  <c r="J538" i="1"/>
  <c r="K538" i="1"/>
  <c r="C539" i="1"/>
  <c r="E539" i="1"/>
  <c r="G539" i="1"/>
  <c r="H539" i="1"/>
  <c r="J539" i="1"/>
  <c r="K539" i="1"/>
  <c r="C540" i="1"/>
  <c r="E540" i="1"/>
  <c r="G540" i="1"/>
  <c r="H540" i="1"/>
  <c r="J540" i="1"/>
  <c r="K540" i="1"/>
  <c r="C541" i="1"/>
  <c r="E541" i="1"/>
  <c r="G541" i="1"/>
  <c r="H541" i="1"/>
  <c r="J541" i="1"/>
  <c r="K541" i="1"/>
  <c r="C542" i="1"/>
  <c r="D542" i="1"/>
  <c r="E542" i="1"/>
  <c r="G542" i="1"/>
  <c r="H542" i="1"/>
  <c r="J542" i="1"/>
  <c r="K542" i="1"/>
  <c r="C543" i="1"/>
  <c r="D543" i="1"/>
  <c r="E543" i="1"/>
  <c r="G543" i="1"/>
  <c r="H543" i="1"/>
  <c r="J543" i="1"/>
  <c r="K543" i="1"/>
</calcChain>
</file>

<file path=xl/sharedStrings.xml><?xml version="1.0" encoding="utf-8"?>
<sst xmlns="http://schemas.openxmlformats.org/spreadsheetml/2006/main" count="2138" uniqueCount="130">
  <si>
    <t>Operação</t>
  </si>
  <si>
    <t>Movimento</t>
  </si>
  <si>
    <t>Estab</t>
  </si>
  <si>
    <t>Série</t>
  </si>
  <si>
    <t>Documento</t>
  </si>
  <si>
    <t>Natur Oper</t>
  </si>
  <si>
    <t>Emitente</t>
  </si>
  <si>
    <t>Modelo Doc</t>
  </si>
  <si>
    <t>Item</t>
  </si>
  <si>
    <t>CFOP</t>
  </si>
  <si>
    <t>CST</t>
  </si>
  <si>
    <t>Vl Contábil</t>
  </si>
  <si>
    <t>Vl Mercadoria</t>
  </si>
  <si>
    <t>Vl Base PIS</t>
  </si>
  <si>
    <t>Vl Aliq PIS</t>
  </si>
  <si>
    <t>Vl PIS</t>
  </si>
  <si>
    <t>Vl Base PIS ST</t>
  </si>
  <si>
    <t>Vl Aliq PIS ST</t>
  </si>
  <si>
    <t>Vl PIS ST</t>
  </si>
  <si>
    <t>Vl Base COFINS</t>
  </si>
  <si>
    <t>Vl Aliq COFINS</t>
  </si>
  <si>
    <t>Vl COFINS</t>
  </si>
  <si>
    <t>Vl Base COFINS ST</t>
  </si>
  <si>
    <t>Vl Aliq COFINS ST</t>
  </si>
  <si>
    <t>Vl COFINS ST</t>
  </si>
  <si>
    <t>Mercadoria</t>
  </si>
  <si>
    <t>Entrada</t>
  </si>
  <si>
    <t>graos</t>
  </si>
  <si>
    <t>SOJA</t>
  </si>
  <si>
    <t>MILHO</t>
  </si>
  <si>
    <t>GRAOS</t>
  </si>
  <si>
    <t>TRIGO</t>
  </si>
  <si>
    <t>milho</t>
  </si>
  <si>
    <t>un</t>
  </si>
  <si>
    <t>.compras</t>
  </si>
  <si>
    <t>111a</t>
  </si>
  <si>
    <t>111eff</t>
  </si>
  <si>
    <t>.COMPRAS</t>
  </si>
  <si>
    <t>111faf</t>
  </si>
  <si>
    <t>.compras.lote</t>
  </si>
  <si>
    <t>111far</t>
  </si>
  <si>
    <t>lod01</t>
  </si>
  <si>
    <t>.compras.fisico</t>
  </si>
  <si>
    <t>.comprasNo.serie</t>
  </si>
  <si>
    <t>.comprasreferênc</t>
  </si>
  <si>
    <t>.comprasDD</t>
  </si>
  <si>
    <t>111FAF</t>
  </si>
  <si>
    <t>11fafr</t>
  </si>
  <si>
    <t>111FAR</t>
  </si>
  <si>
    <t>ac-007</t>
  </si>
  <si>
    <t>aaa</t>
  </si>
  <si>
    <t>UN</t>
  </si>
  <si>
    <t>abjc-100</t>
  </si>
  <si>
    <t>02.11.010-5</t>
  </si>
  <si>
    <t>02.11.009-1</t>
  </si>
  <si>
    <t>06.01.038-5</t>
  </si>
  <si>
    <t>13t</t>
  </si>
  <si>
    <t>06.01.653-7</t>
  </si>
  <si>
    <t>02.01.002-0</t>
  </si>
  <si>
    <t>.COMPRAS.LOTE</t>
  </si>
  <si>
    <t>11effr</t>
  </si>
  <si>
    <t>.comprasconsigna</t>
  </si>
  <si>
    <t>DD</t>
  </si>
  <si>
    <t>.COMPRASCN</t>
  </si>
  <si>
    <t>ka02l</t>
  </si>
  <si>
    <t>111agr</t>
  </si>
  <si>
    <t>111EFF</t>
  </si>
  <si>
    <t>40t</t>
  </si>
  <si>
    <t>111MRI</t>
  </si>
  <si>
    <t>111EFR</t>
  </si>
  <si>
    <t>111efr</t>
  </si>
  <si>
    <t>199ret</t>
  </si>
  <si>
    <t>211sto</t>
  </si>
  <si>
    <t>.DANF-e</t>
  </si>
  <si>
    <t>211dev</t>
  </si>
  <si>
    <t>13d</t>
  </si>
  <si>
    <t>211DEV</t>
  </si>
  <si>
    <t>40f</t>
  </si>
  <si>
    <t>211STO</t>
  </si>
  <si>
    <t>40C</t>
  </si>
  <si>
    <t>211BRM</t>
  </si>
  <si>
    <t>13FF</t>
  </si>
  <si>
    <t>40T</t>
  </si>
  <si>
    <t>13ff</t>
  </si>
  <si>
    <t>13T</t>
  </si>
  <si>
    <t>P2</t>
  </si>
  <si>
    <t>13C</t>
  </si>
  <si>
    <t>2staou</t>
  </si>
  <si>
    <t>.danfe</t>
  </si>
  <si>
    <t>13f</t>
  </si>
  <si>
    <t>.DANFE-TamanhoCP</t>
  </si>
  <si>
    <t>211st</t>
  </si>
  <si>
    <t>21stou</t>
  </si>
  <si>
    <t>soja</t>
  </si>
  <si>
    <t>211mri</t>
  </si>
  <si>
    <t>13D</t>
  </si>
  <si>
    <t>3111-r</t>
  </si>
  <si>
    <t>Saída</t>
  </si>
  <si>
    <t>511eff</t>
  </si>
  <si>
    <t>.comprasdd</t>
  </si>
  <si>
    <t>5111ST</t>
  </si>
  <si>
    <t>51dfar</t>
  </si>
  <si>
    <t>611tb</t>
  </si>
  <si>
    <t>611rfa</t>
  </si>
  <si>
    <t>13c</t>
  </si>
  <si>
    <t>.danfe-tributado</t>
  </si>
  <si>
    <t>611jec</t>
  </si>
  <si>
    <t>p2</t>
  </si>
  <si>
    <t>611otf</t>
  </si>
  <si>
    <t>13F</t>
  </si>
  <si>
    <t>13cc</t>
  </si>
  <si>
    <t>p1</t>
  </si>
  <si>
    <t>p3</t>
  </si>
  <si>
    <t>ref</t>
  </si>
  <si>
    <t>P1</t>
  </si>
  <si>
    <t>611-IE</t>
  </si>
  <si>
    <t>FB2</t>
  </si>
  <si>
    <t>.danfe-tamanhoCP</t>
  </si>
  <si>
    <t>40F</t>
  </si>
  <si>
    <t>.DANFE</t>
  </si>
  <si>
    <t>611EFF</t>
  </si>
  <si>
    <t>611eff</t>
  </si>
  <si>
    <t>611sc</t>
  </si>
  <si>
    <t>611sub</t>
  </si>
  <si>
    <t>611sta</t>
  </si>
  <si>
    <t>611st</t>
  </si>
  <si>
    <t>Serviço</t>
  </si>
  <si>
    <t>111rat</t>
  </si>
  <si>
    <t>611ser</t>
  </si>
  <si>
    <t>621ser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</si>
</sst>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##########0.00000"/>
    <numFmt numFmtId="165" formatCode="#############0.0000"/>
    <numFmt numFmtId="166" formatCode="###########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  <xf numFmtId="165" fontId="16" fillId="0" borderId="0" xfId="0" applyNumberFormat="1" applyFont="1"/>
    <xf numFmtId="165" fontId="0" fillId="0" borderId="0" xfId="0" applyNumberFormat="1"/>
    <xf numFmtId="166" fontId="16" fillId="0" borderId="0" xfId="0" applyNumberFormat="1" applyFont="1"/>
    <xf numFmtId="166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3"/>
  <sheetViews>
    <sheetView tabSelected="1" workbookViewId="0"/>
  </sheetViews>
  <sheetFormatPr defaultRowHeight="15" x14ac:dyDescent="0.25"/>
  <cols>
    <col min="1" max="1" width="12.7109375" customWidth="1"/>
    <col min="2" max="2" width="11.7109375" customWidth="1"/>
    <col min="3" max="4" width="7.7109375" customWidth="1"/>
    <col min="5" max="5" width="11.7109375" customWidth="1"/>
    <col min="6" max="6" width="12.7109375" customWidth="1"/>
    <col min="7" max="7" width="10.7109375" customWidth="1"/>
    <col min="8" max="8" width="12.7109375" customWidth="1"/>
    <col min="9" max="10" width="6.7109375" customWidth="1"/>
    <col min="11" max="11" width="5.7109375" customWidth="1"/>
    <col min="12" max="12" width="13.7109375" style="3" customWidth="1"/>
    <col min="13" max="13" width="15.7109375" style="5" customWidth="1"/>
    <col min="14" max="14" width="13.7109375" style="7" customWidth="1"/>
    <col min="15" max="15" width="13.7109375" style="3" customWidth="1"/>
    <col min="16" max="16" width="8.7109375" style="7" customWidth="1"/>
    <col min="17" max="18" width="16.7109375" style="7" customWidth="1"/>
    <col min="19" max="19" width="11.7109375" style="7" customWidth="1"/>
    <col min="20" max="20" width="16.7109375" style="7" customWidth="1"/>
    <col min="21" max="21" width="16.7109375" style="3" customWidth="1"/>
    <col min="22" max="22" width="11.7109375" style="7" customWidth="1"/>
    <col min="23" max="23" width="19.7109375" style="7" customWidth="1"/>
    <col min="24" max="24" width="19.7109375" style="3" customWidth="1"/>
    <col min="25" max="25" width="14.7109375" style="7" customWidth="1"/>
  </cols>
  <sheetData>
    <row r="1" spans="1:2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4" t="s">
        <v>12</v>
      </c>
      <c r="N1" s="6" t="s">
        <v>13</v>
      </c>
      <c r="O1" s="2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2" t="s">
        <v>20</v>
      </c>
      <c r="V1" s="6" t="s">
        <v>21</v>
      </c>
      <c r="W1" s="6" t="s">
        <v>22</v>
      </c>
      <c r="X1" s="2" t="s">
        <v>23</v>
      </c>
      <c r="Y1" s="6" t="s">
        <v>24</v>
      </c>
    </row>
    <row r="2" spans="1:25" x14ac:dyDescent="0.25">
      <c r="A2" t="s">
        <v>25</v>
      </c>
      <c r="B2" t="s">
        <v>26</v>
      </c>
      <c r="C2" t="str">
        <f t="shared" ref="C2:C34" si="0">"1"</f>
        <v>1</v>
      </c>
      <c r="D2" t="s">
        <v>27</v>
      </c>
      <c r="E2" t="str">
        <f>"0000016"</f>
        <v>0000016</v>
      </c>
      <c r="F2" t="str">
        <f>"210201"</f>
        <v>210201</v>
      </c>
      <c r="G2" t="str">
        <f>"90000032"</f>
        <v>90000032</v>
      </c>
      <c r="H2" t="str">
        <f>"01"</f>
        <v>01</v>
      </c>
      <c r="I2" t="s">
        <v>28</v>
      </c>
      <c r="K2" t="str">
        <f t="shared" ref="K2:K33" si="1">"07"</f>
        <v>07</v>
      </c>
      <c r="L2" s="3">
        <v>3015</v>
      </c>
      <c r="M2" s="5">
        <v>3015</v>
      </c>
      <c r="N2" s="7">
        <v>3015</v>
      </c>
      <c r="O2" s="3">
        <v>0</v>
      </c>
      <c r="P2" s="7">
        <v>0</v>
      </c>
      <c r="Q2" s="7">
        <v>0</v>
      </c>
      <c r="R2" s="7">
        <v>0</v>
      </c>
      <c r="S2" s="7">
        <v>0</v>
      </c>
      <c r="T2" s="7">
        <v>3015</v>
      </c>
      <c r="U2" s="3">
        <v>0</v>
      </c>
      <c r="V2" s="7">
        <v>0</v>
      </c>
      <c r="W2" s="7">
        <v>0</v>
      </c>
      <c r="X2" s="3">
        <v>0</v>
      </c>
      <c r="Y2" s="7">
        <v>0</v>
      </c>
    </row>
    <row r="3" spans="1:25" x14ac:dyDescent="0.25">
      <c r="A3" t="s">
        <v>25</v>
      </c>
      <c r="B3" t="s">
        <v>26</v>
      </c>
      <c r="C3" t="str">
        <f t="shared" si="0"/>
        <v>1</v>
      </c>
      <c r="D3" t="s">
        <v>27</v>
      </c>
      <c r="E3" t="str">
        <f>"0000043"</f>
        <v>0000043</v>
      </c>
      <c r="F3" t="str">
        <f>"210201"</f>
        <v>210201</v>
      </c>
      <c r="G3" t="str">
        <f>"90000035"</f>
        <v>90000035</v>
      </c>
      <c r="H3" t="str">
        <f>"01"</f>
        <v>01</v>
      </c>
      <c r="I3" t="s">
        <v>28</v>
      </c>
      <c r="K3" t="str">
        <f t="shared" si="1"/>
        <v>07</v>
      </c>
      <c r="L3" s="3">
        <v>53185.45</v>
      </c>
      <c r="M3" s="5">
        <v>53185.45</v>
      </c>
      <c r="N3" s="7">
        <v>53185.45</v>
      </c>
      <c r="O3" s="3">
        <v>0</v>
      </c>
      <c r="P3" s="7">
        <v>0</v>
      </c>
      <c r="Q3" s="7">
        <v>0</v>
      </c>
      <c r="R3" s="7">
        <v>0</v>
      </c>
      <c r="S3" s="7">
        <v>0</v>
      </c>
      <c r="T3" s="7">
        <v>53185.45</v>
      </c>
      <c r="U3" s="3">
        <v>0</v>
      </c>
      <c r="V3" s="7">
        <v>0</v>
      </c>
      <c r="W3" s="7">
        <v>0</v>
      </c>
      <c r="X3" s="3">
        <v>0</v>
      </c>
      <c r="Y3" s="7">
        <v>0</v>
      </c>
    </row>
    <row r="4" spans="1:25" x14ac:dyDescent="0.25">
      <c r="A4" t="s">
        <v>25</v>
      </c>
      <c r="B4" t="s">
        <v>26</v>
      </c>
      <c r="C4" t="str">
        <f t="shared" si="0"/>
        <v>1</v>
      </c>
      <c r="D4" t="s">
        <v>27</v>
      </c>
      <c r="E4" t="str">
        <f>"0000044"</f>
        <v>0000044</v>
      </c>
      <c r="F4" t="str">
        <f>"210201"</f>
        <v>210201</v>
      </c>
      <c r="G4" t="str">
        <f>"90000035"</f>
        <v>90000035</v>
      </c>
      <c r="H4" t="str">
        <f>"01"</f>
        <v>01</v>
      </c>
      <c r="I4" t="s">
        <v>28</v>
      </c>
      <c r="K4" t="str">
        <f t="shared" si="1"/>
        <v>07</v>
      </c>
      <c r="L4" s="3">
        <v>53185.45</v>
      </c>
      <c r="M4" s="5">
        <v>53185.45</v>
      </c>
      <c r="N4" s="7">
        <v>53185.45</v>
      </c>
      <c r="O4" s="3">
        <v>0</v>
      </c>
      <c r="P4" s="7">
        <v>0</v>
      </c>
      <c r="Q4" s="7">
        <v>0</v>
      </c>
      <c r="R4" s="7">
        <v>0</v>
      </c>
      <c r="S4" s="7">
        <v>0</v>
      </c>
      <c r="T4" s="7">
        <v>53185.45</v>
      </c>
      <c r="U4" s="3">
        <v>0</v>
      </c>
      <c r="V4" s="7">
        <v>0</v>
      </c>
      <c r="W4" s="7">
        <v>0</v>
      </c>
      <c r="X4" s="3">
        <v>0</v>
      </c>
      <c r="Y4" s="7">
        <v>0</v>
      </c>
    </row>
    <row r="5" spans="1:25" x14ac:dyDescent="0.25">
      <c r="A5" t="s">
        <v>25</v>
      </c>
      <c r="B5" t="s">
        <v>26</v>
      </c>
      <c r="C5" t="str">
        <f t="shared" si="0"/>
        <v>1</v>
      </c>
      <c r="D5" t="s">
        <v>27</v>
      </c>
      <c r="E5" t="str">
        <f>"0000046"</f>
        <v>0000046</v>
      </c>
      <c r="F5" t="str">
        <f>"210201"</f>
        <v>210201</v>
      </c>
      <c r="G5" t="str">
        <f>"90000035"</f>
        <v>90000035</v>
      </c>
      <c r="H5" t="str">
        <f>"01"</f>
        <v>01</v>
      </c>
      <c r="I5" t="s">
        <v>28</v>
      </c>
      <c r="K5" t="str">
        <f t="shared" si="1"/>
        <v>07</v>
      </c>
      <c r="L5" s="3">
        <v>13618.84</v>
      </c>
      <c r="M5" s="5">
        <v>13618.84</v>
      </c>
      <c r="N5" s="7">
        <v>13618.84</v>
      </c>
      <c r="O5" s="3">
        <v>0</v>
      </c>
      <c r="P5" s="7">
        <v>0</v>
      </c>
      <c r="Q5" s="7">
        <v>0</v>
      </c>
      <c r="R5" s="7">
        <v>0</v>
      </c>
      <c r="S5" s="7">
        <v>0</v>
      </c>
      <c r="T5" s="7">
        <v>13618.84</v>
      </c>
      <c r="U5" s="3">
        <v>0</v>
      </c>
      <c r="V5" s="7">
        <v>0</v>
      </c>
      <c r="W5" s="7">
        <v>0</v>
      </c>
      <c r="X5" s="3">
        <v>0</v>
      </c>
      <c r="Y5" s="7">
        <v>0</v>
      </c>
    </row>
    <row r="6" spans="1:25" x14ac:dyDescent="0.25">
      <c r="A6" t="s">
        <v>25</v>
      </c>
      <c r="B6" t="s">
        <v>26</v>
      </c>
      <c r="C6" t="str">
        <f t="shared" si="0"/>
        <v>1</v>
      </c>
      <c r="D6" t="s">
        <v>27</v>
      </c>
      <c r="E6" t="str">
        <f>"0000123"</f>
        <v>0000123</v>
      </c>
      <c r="F6" t="str">
        <f>"210202"</f>
        <v>210202</v>
      </c>
      <c r="G6" t="str">
        <f>"90000035"</f>
        <v>90000035</v>
      </c>
      <c r="H6" t="str">
        <f t="shared" ref="H6:H34" si="2">"00"</f>
        <v>00</v>
      </c>
      <c r="I6" t="s">
        <v>28</v>
      </c>
      <c r="K6" t="str">
        <f t="shared" si="1"/>
        <v>07</v>
      </c>
      <c r="L6" s="3">
        <v>60300</v>
      </c>
      <c r="M6" s="5">
        <v>60300</v>
      </c>
      <c r="N6" s="7">
        <v>60300</v>
      </c>
      <c r="O6" s="3">
        <v>0</v>
      </c>
      <c r="P6" s="7">
        <v>0</v>
      </c>
      <c r="Q6" s="7">
        <v>0</v>
      </c>
      <c r="R6" s="7">
        <v>0</v>
      </c>
      <c r="S6" s="7">
        <v>0</v>
      </c>
      <c r="T6" s="7">
        <v>60300</v>
      </c>
      <c r="U6" s="3">
        <v>0</v>
      </c>
      <c r="V6" s="7">
        <v>0</v>
      </c>
      <c r="W6" s="7">
        <v>0</v>
      </c>
      <c r="X6" s="3">
        <v>0</v>
      </c>
      <c r="Y6" s="7">
        <v>0</v>
      </c>
    </row>
    <row r="7" spans="1:25" x14ac:dyDescent="0.25">
      <c r="A7" t="s">
        <v>25</v>
      </c>
      <c r="B7" t="s">
        <v>26</v>
      </c>
      <c r="C7" t="str">
        <f t="shared" si="0"/>
        <v>1</v>
      </c>
      <c r="D7" t="s">
        <v>27</v>
      </c>
      <c r="E7" t="str">
        <f>"0000345"</f>
        <v>0000345</v>
      </c>
      <c r="F7" t="str">
        <f>"210202"</f>
        <v>210202</v>
      </c>
      <c r="G7" t="str">
        <f>"90000035"</f>
        <v>90000035</v>
      </c>
      <c r="H7" t="str">
        <f t="shared" si="2"/>
        <v>00</v>
      </c>
      <c r="I7" t="s">
        <v>28</v>
      </c>
      <c r="K7" t="str">
        <f t="shared" si="1"/>
        <v>07</v>
      </c>
      <c r="L7" s="3">
        <v>60300</v>
      </c>
      <c r="M7" s="5">
        <v>60300</v>
      </c>
      <c r="N7" s="7">
        <v>60300</v>
      </c>
      <c r="O7" s="3">
        <v>0</v>
      </c>
      <c r="P7" s="7">
        <v>0</v>
      </c>
      <c r="Q7" s="7">
        <v>0</v>
      </c>
      <c r="R7" s="7">
        <v>0</v>
      </c>
      <c r="S7" s="7">
        <v>0</v>
      </c>
      <c r="T7" s="7">
        <v>60300</v>
      </c>
      <c r="U7" s="3">
        <v>0</v>
      </c>
      <c r="V7" s="7">
        <v>0</v>
      </c>
      <c r="W7" s="7">
        <v>0</v>
      </c>
      <c r="X7" s="3">
        <v>0</v>
      </c>
      <c r="Y7" s="7">
        <v>0</v>
      </c>
    </row>
    <row r="8" spans="1:25" x14ac:dyDescent="0.25">
      <c r="A8" t="s">
        <v>25</v>
      </c>
      <c r="B8" t="s">
        <v>26</v>
      </c>
      <c r="C8" t="str">
        <f t="shared" si="0"/>
        <v>1</v>
      </c>
      <c r="D8" t="str">
        <f t="shared" ref="D8:D13" si="3">"1"</f>
        <v>1</v>
      </c>
      <c r="E8" t="str">
        <f>"0003456"</f>
        <v>0003456</v>
      </c>
      <c r="F8" t="str">
        <f>"210202"</f>
        <v>210202</v>
      </c>
      <c r="G8" t="str">
        <f t="shared" ref="G8:G13" si="4">"90000033"</f>
        <v>90000033</v>
      </c>
      <c r="H8" t="str">
        <f t="shared" si="2"/>
        <v>00</v>
      </c>
      <c r="I8" t="s">
        <v>29</v>
      </c>
      <c r="K8" t="str">
        <f t="shared" si="1"/>
        <v>07</v>
      </c>
      <c r="L8" s="3">
        <v>10175</v>
      </c>
      <c r="M8" s="5">
        <v>10175</v>
      </c>
      <c r="N8" s="7">
        <v>10175</v>
      </c>
      <c r="O8" s="3">
        <v>0</v>
      </c>
      <c r="P8" s="7">
        <v>0</v>
      </c>
      <c r="Q8" s="7">
        <v>0</v>
      </c>
      <c r="R8" s="7">
        <v>0</v>
      </c>
      <c r="S8" s="7">
        <v>0</v>
      </c>
      <c r="T8" s="7">
        <v>10175</v>
      </c>
      <c r="U8" s="3">
        <v>0</v>
      </c>
      <c r="V8" s="7">
        <v>0</v>
      </c>
      <c r="W8" s="7">
        <v>0</v>
      </c>
      <c r="X8" s="3">
        <v>0</v>
      </c>
      <c r="Y8" s="7">
        <v>0</v>
      </c>
    </row>
    <row r="9" spans="1:25" x14ac:dyDescent="0.25">
      <c r="A9" t="s">
        <v>25</v>
      </c>
      <c r="B9" t="s">
        <v>26</v>
      </c>
      <c r="C9" t="str">
        <f t="shared" si="0"/>
        <v>1</v>
      </c>
      <c r="D9" t="str">
        <f t="shared" si="3"/>
        <v>1</v>
      </c>
      <c r="E9" t="str">
        <f>"0003457"</f>
        <v>0003457</v>
      </c>
      <c r="F9" t="str">
        <f>"210206"</f>
        <v>210206</v>
      </c>
      <c r="G9" t="str">
        <f t="shared" si="4"/>
        <v>90000033</v>
      </c>
      <c r="H9" t="str">
        <f t="shared" si="2"/>
        <v>00</v>
      </c>
      <c r="I9" t="s">
        <v>29</v>
      </c>
      <c r="K9" t="str">
        <f t="shared" si="1"/>
        <v>07</v>
      </c>
      <c r="L9" s="3">
        <v>3289.92</v>
      </c>
      <c r="M9" s="5">
        <v>3289.92</v>
      </c>
      <c r="N9" s="7">
        <v>3289.92</v>
      </c>
      <c r="O9" s="3">
        <v>0</v>
      </c>
      <c r="P9" s="7">
        <v>0</v>
      </c>
      <c r="Q9" s="7">
        <v>0</v>
      </c>
      <c r="R9" s="7">
        <v>0</v>
      </c>
      <c r="S9" s="7">
        <v>0</v>
      </c>
      <c r="T9" s="7">
        <v>3289.92</v>
      </c>
      <c r="U9" s="3">
        <v>0</v>
      </c>
      <c r="V9" s="7">
        <v>0</v>
      </c>
      <c r="W9" s="7">
        <v>0</v>
      </c>
      <c r="X9" s="3">
        <v>0</v>
      </c>
      <c r="Y9" s="7">
        <v>0</v>
      </c>
    </row>
    <row r="10" spans="1:25" x14ac:dyDescent="0.25">
      <c r="A10" t="s">
        <v>25</v>
      </c>
      <c r="B10" t="s">
        <v>26</v>
      </c>
      <c r="C10" t="str">
        <f t="shared" si="0"/>
        <v>1</v>
      </c>
      <c r="D10" t="str">
        <f t="shared" si="3"/>
        <v>1</v>
      </c>
      <c r="E10" t="str">
        <f>"0003458"</f>
        <v>0003458</v>
      </c>
      <c r="F10" t="str">
        <f>"210202"</f>
        <v>210202</v>
      </c>
      <c r="G10" t="str">
        <f t="shared" si="4"/>
        <v>90000033</v>
      </c>
      <c r="H10" t="str">
        <f t="shared" si="2"/>
        <v>00</v>
      </c>
      <c r="I10" t="s">
        <v>29</v>
      </c>
      <c r="K10" t="str">
        <f t="shared" si="1"/>
        <v>07</v>
      </c>
      <c r="L10" s="3">
        <v>20451.75</v>
      </c>
      <c r="M10" s="5">
        <v>20451.75</v>
      </c>
      <c r="N10" s="7">
        <v>20451.75</v>
      </c>
      <c r="O10" s="3">
        <v>0</v>
      </c>
      <c r="P10" s="7">
        <v>0</v>
      </c>
      <c r="Q10" s="7">
        <v>0</v>
      </c>
      <c r="R10" s="7">
        <v>0</v>
      </c>
      <c r="S10" s="7">
        <v>0</v>
      </c>
      <c r="T10" s="7">
        <v>20451.75</v>
      </c>
      <c r="U10" s="3">
        <v>0</v>
      </c>
      <c r="V10" s="7">
        <v>0</v>
      </c>
      <c r="W10" s="7">
        <v>0</v>
      </c>
      <c r="X10" s="3">
        <v>0</v>
      </c>
      <c r="Y10" s="7">
        <v>0</v>
      </c>
    </row>
    <row r="11" spans="1:25" x14ac:dyDescent="0.25">
      <c r="A11" t="s">
        <v>25</v>
      </c>
      <c r="B11" t="s">
        <v>26</v>
      </c>
      <c r="C11" t="str">
        <f t="shared" si="0"/>
        <v>1</v>
      </c>
      <c r="D11" t="str">
        <f t="shared" si="3"/>
        <v>1</v>
      </c>
      <c r="E11" t="str">
        <f>"0003459"</f>
        <v>0003459</v>
      </c>
      <c r="F11" t="str">
        <f>"210202"</f>
        <v>210202</v>
      </c>
      <c r="G11" t="str">
        <f t="shared" si="4"/>
        <v>90000033</v>
      </c>
      <c r="H11" t="str">
        <f t="shared" si="2"/>
        <v>00</v>
      </c>
      <c r="I11" t="s">
        <v>29</v>
      </c>
      <c r="K11" t="str">
        <f t="shared" si="1"/>
        <v>07</v>
      </c>
      <c r="L11" s="3">
        <v>27133.33</v>
      </c>
      <c r="M11" s="5">
        <v>27133.33</v>
      </c>
      <c r="N11" s="7">
        <v>27133.33</v>
      </c>
      <c r="O11" s="3">
        <v>0</v>
      </c>
      <c r="P11" s="7">
        <v>0</v>
      </c>
      <c r="Q11" s="7">
        <v>0</v>
      </c>
      <c r="R11" s="7">
        <v>0</v>
      </c>
      <c r="S11" s="7">
        <v>0</v>
      </c>
      <c r="T11" s="7">
        <v>27133.33</v>
      </c>
      <c r="U11" s="3">
        <v>0</v>
      </c>
      <c r="V11" s="7">
        <v>0</v>
      </c>
      <c r="W11" s="7">
        <v>0</v>
      </c>
      <c r="X11" s="3">
        <v>0</v>
      </c>
      <c r="Y11" s="7">
        <v>0</v>
      </c>
    </row>
    <row r="12" spans="1:25" x14ac:dyDescent="0.25">
      <c r="A12" t="s">
        <v>25</v>
      </c>
      <c r="B12" t="s">
        <v>26</v>
      </c>
      <c r="C12" t="str">
        <f t="shared" si="0"/>
        <v>1</v>
      </c>
      <c r="D12" t="str">
        <f t="shared" si="3"/>
        <v>1</v>
      </c>
      <c r="E12" t="str">
        <f>"0003460"</f>
        <v>0003460</v>
      </c>
      <c r="F12" t="str">
        <f>"210206"</f>
        <v>210206</v>
      </c>
      <c r="G12" t="str">
        <f t="shared" si="4"/>
        <v>90000033</v>
      </c>
      <c r="H12" t="str">
        <f t="shared" si="2"/>
        <v>00</v>
      </c>
      <c r="I12" t="s">
        <v>29</v>
      </c>
      <c r="K12" t="str">
        <f t="shared" si="1"/>
        <v>07</v>
      </c>
      <c r="L12" s="3">
        <v>3391.67</v>
      </c>
      <c r="M12" s="5">
        <v>3391.67</v>
      </c>
      <c r="N12" s="7">
        <v>3391.67</v>
      </c>
      <c r="O12" s="3">
        <v>0</v>
      </c>
      <c r="P12" s="7">
        <v>0</v>
      </c>
      <c r="Q12" s="7">
        <v>0</v>
      </c>
      <c r="R12" s="7">
        <v>0</v>
      </c>
      <c r="S12" s="7">
        <v>0</v>
      </c>
      <c r="T12" s="7">
        <v>3391.67</v>
      </c>
      <c r="U12" s="3">
        <v>0</v>
      </c>
      <c r="V12" s="7">
        <v>0</v>
      </c>
      <c r="W12" s="7">
        <v>0</v>
      </c>
      <c r="X12" s="3">
        <v>0</v>
      </c>
      <c r="Y12" s="7">
        <v>0</v>
      </c>
    </row>
    <row r="13" spans="1:25" x14ac:dyDescent="0.25">
      <c r="A13" t="s">
        <v>25</v>
      </c>
      <c r="B13" t="s">
        <v>26</v>
      </c>
      <c r="C13" t="str">
        <f t="shared" si="0"/>
        <v>1</v>
      </c>
      <c r="D13" t="str">
        <f t="shared" si="3"/>
        <v>1</v>
      </c>
      <c r="E13" t="str">
        <f>"0003461"</f>
        <v>0003461</v>
      </c>
      <c r="F13" t="str">
        <f>"210206"</f>
        <v>210206</v>
      </c>
      <c r="G13" t="str">
        <f t="shared" si="4"/>
        <v>90000033</v>
      </c>
      <c r="H13" t="str">
        <f t="shared" si="2"/>
        <v>00</v>
      </c>
      <c r="I13" t="s">
        <v>29</v>
      </c>
      <c r="K13" t="str">
        <f t="shared" si="1"/>
        <v>07</v>
      </c>
      <c r="L13" s="3">
        <v>3391.67</v>
      </c>
      <c r="M13" s="5">
        <v>3391.67</v>
      </c>
      <c r="N13" s="7">
        <v>3391.67</v>
      </c>
      <c r="O13" s="3">
        <v>0</v>
      </c>
      <c r="P13" s="7">
        <v>0</v>
      </c>
      <c r="Q13" s="7">
        <v>0</v>
      </c>
      <c r="R13" s="7">
        <v>0</v>
      </c>
      <c r="S13" s="7">
        <v>0</v>
      </c>
      <c r="T13" s="7">
        <v>3391.67</v>
      </c>
      <c r="U13" s="3">
        <v>0</v>
      </c>
      <c r="V13" s="7">
        <v>0</v>
      </c>
      <c r="W13" s="7">
        <v>0</v>
      </c>
      <c r="X13" s="3">
        <v>0</v>
      </c>
      <c r="Y13" s="7">
        <v>0</v>
      </c>
    </row>
    <row r="14" spans="1:25" x14ac:dyDescent="0.25">
      <c r="A14" t="s">
        <v>25</v>
      </c>
      <c r="B14" t="s">
        <v>26</v>
      </c>
      <c r="C14" t="str">
        <f t="shared" si="0"/>
        <v>1</v>
      </c>
      <c r="D14" t="s">
        <v>27</v>
      </c>
      <c r="E14" t="str">
        <f>"0008765"</f>
        <v>0008765</v>
      </c>
      <c r="F14" t="str">
        <f t="shared" ref="F14:F32" si="5">"210202"</f>
        <v>210202</v>
      </c>
      <c r="G14" t="str">
        <f>"90000035"</f>
        <v>90000035</v>
      </c>
      <c r="H14" t="str">
        <f t="shared" si="2"/>
        <v>00</v>
      </c>
      <c r="I14" t="s">
        <v>28</v>
      </c>
      <c r="K14" t="str">
        <f t="shared" si="1"/>
        <v>07</v>
      </c>
      <c r="L14" s="3">
        <v>60300</v>
      </c>
      <c r="M14" s="5">
        <v>60300</v>
      </c>
      <c r="N14" s="7">
        <v>60300</v>
      </c>
      <c r="O14" s="3">
        <v>0</v>
      </c>
      <c r="P14" s="7">
        <v>0</v>
      </c>
      <c r="Q14" s="7">
        <v>0</v>
      </c>
      <c r="R14" s="7">
        <v>0</v>
      </c>
      <c r="S14" s="7">
        <v>0</v>
      </c>
      <c r="T14" s="7">
        <v>60300</v>
      </c>
      <c r="U14" s="3">
        <v>0</v>
      </c>
      <c r="V14" s="7">
        <v>0</v>
      </c>
      <c r="W14" s="7">
        <v>0</v>
      </c>
      <c r="X14" s="3">
        <v>0</v>
      </c>
      <c r="Y14" s="7">
        <v>0</v>
      </c>
    </row>
    <row r="15" spans="1:25" x14ac:dyDescent="0.25">
      <c r="A15" t="s">
        <v>25</v>
      </c>
      <c r="B15" t="s">
        <v>26</v>
      </c>
      <c r="C15" t="str">
        <f t="shared" si="0"/>
        <v>1</v>
      </c>
      <c r="D15" t="s">
        <v>30</v>
      </c>
      <c r="E15" t="str">
        <f>"0012345"</f>
        <v>0012345</v>
      </c>
      <c r="F15" t="str">
        <f t="shared" si="5"/>
        <v>210202</v>
      </c>
      <c r="G15" t="str">
        <f t="shared" ref="G15:G27" si="6">"90000033"</f>
        <v>90000033</v>
      </c>
      <c r="H15" t="str">
        <f t="shared" si="2"/>
        <v>00</v>
      </c>
      <c r="I15" t="s">
        <v>29</v>
      </c>
      <c r="K15" t="str">
        <f t="shared" si="1"/>
        <v>07</v>
      </c>
      <c r="L15" s="3">
        <v>186.54</v>
      </c>
      <c r="M15" s="5">
        <v>186.54</v>
      </c>
      <c r="N15" s="7">
        <v>186.54</v>
      </c>
      <c r="O15" s="3">
        <v>0</v>
      </c>
      <c r="P15" s="7">
        <v>0</v>
      </c>
      <c r="Q15" s="7">
        <v>0</v>
      </c>
      <c r="R15" s="7">
        <v>0</v>
      </c>
      <c r="S15" s="7">
        <v>0</v>
      </c>
      <c r="T15" s="7">
        <v>186.54</v>
      </c>
      <c r="U15" s="3">
        <v>0</v>
      </c>
      <c r="V15" s="7">
        <v>0</v>
      </c>
      <c r="W15" s="7">
        <v>0</v>
      </c>
      <c r="X15" s="3">
        <v>0</v>
      </c>
      <c r="Y15" s="7">
        <v>0</v>
      </c>
    </row>
    <row r="16" spans="1:25" x14ac:dyDescent="0.25">
      <c r="A16" t="s">
        <v>25</v>
      </c>
      <c r="B16" t="s">
        <v>26</v>
      </c>
      <c r="C16" t="str">
        <f t="shared" si="0"/>
        <v>1</v>
      </c>
      <c r="D16" t="s">
        <v>27</v>
      </c>
      <c r="E16" t="str">
        <f>"0014141"</f>
        <v>0014141</v>
      </c>
      <c r="F16" t="str">
        <f t="shared" si="5"/>
        <v>210202</v>
      </c>
      <c r="G16" t="str">
        <f t="shared" si="6"/>
        <v>90000033</v>
      </c>
      <c r="H16" t="str">
        <f t="shared" si="2"/>
        <v>00</v>
      </c>
      <c r="I16" t="s">
        <v>28</v>
      </c>
      <c r="K16" t="str">
        <f t="shared" si="1"/>
        <v>07</v>
      </c>
      <c r="L16" s="3">
        <v>6700</v>
      </c>
      <c r="M16" s="5">
        <v>6700</v>
      </c>
      <c r="N16" s="7">
        <v>6700</v>
      </c>
      <c r="O16" s="3">
        <v>0</v>
      </c>
      <c r="P16" s="7">
        <v>0</v>
      </c>
      <c r="Q16" s="7">
        <v>0</v>
      </c>
      <c r="R16" s="7">
        <v>0</v>
      </c>
      <c r="S16" s="7">
        <v>0</v>
      </c>
      <c r="T16" s="7">
        <v>6700</v>
      </c>
      <c r="U16" s="3">
        <v>0</v>
      </c>
      <c r="V16" s="7">
        <v>0</v>
      </c>
      <c r="W16" s="7">
        <v>0</v>
      </c>
      <c r="X16" s="3">
        <v>0</v>
      </c>
      <c r="Y16" s="7">
        <v>0</v>
      </c>
    </row>
    <row r="17" spans="1:25" x14ac:dyDescent="0.25">
      <c r="A17" t="s">
        <v>25</v>
      </c>
      <c r="B17" t="s">
        <v>26</v>
      </c>
      <c r="C17" t="str">
        <f t="shared" si="0"/>
        <v>1</v>
      </c>
      <c r="D17" t="str">
        <f t="shared" ref="D17:D28" si="7">"1"</f>
        <v>1</v>
      </c>
      <c r="E17" t="str">
        <f>"0020801"</f>
        <v>0020801</v>
      </c>
      <c r="F17" t="str">
        <f t="shared" si="5"/>
        <v>210202</v>
      </c>
      <c r="G17" t="str">
        <f t="shared" si="6"/>
        <v>90000033</v>
      </c>
      <c r="H17" t="str">
        <f t="shared" si="2"/>
        <v>00</v>
      </c>
      <c r="I17" t="s">
        <v>31</v>
      </c>
      <c r="K17" t="str">
        <f t="shared" si="1"/>
        <v>07</v>
      </c>
      <c r="L17" s="3">
        <v>20000</v>
      </c>
      <c r="M17" s="5">
        <v>20000</v>
      </c>
      <c r="N17" s="7">
        <v>20000</v>
      </c>
      <c r="O17" s="3">
        <v>0</v>
      </c>
      <c r="P17" s="7">
        <v>0</v>
      </c>
      <c r="Q17" s="7">
        <v>0</v>
      </c>
      <c r="R17" s="7">
        <v>0</v>
      </c>
      <c r="S17" s="7">
        <v>0</v>
      </c>
      <c r="T17" s="7">
        <v>20000</v>
      </c>
      <c r="U17" s="3">
        <v>0</v>
      </c>
      <c r="V17" s="7">
        <v>0</v>
      </c>
      <c r="W17" s="7">
        <v>0</v>
      </c>
      <c r="X17" s="3">
        <v>0</v>
      </c>
      <c r="Y17" s="7">
        <v>0</v>
      </c>
    </row>
    <row r="18" spans="1:25" x14ac:dyDescent="0.25">
      <c r="A18" t="s">
        <v>25</v>
      </c>
      <c r="B18" t="s">
        <v>26</v>
      </c>
      <c r="C18" t="str">
        <f t="shared" si="0"/>
        <v>1</v>
      </c>
      <c r="D18" t="str">
        <f t="shared" si="7"/>
        <v>1</v>
      </c>
      <c r="E18" t="str">
        <f>"0020803"</f>
        <v>0020803</v>
      </c>
      <c r="F18" t="str">
        <f t="shared" si="5"/>
        <v>210202</v>
      </c>
      <c r="G18" t="str">
        <f t="shared" si="6"/>
        <v>90000033</v>
      </c>
      <c r="H18" t="str">
        <f t="shared" si="2"/>
        <v>00</v>
      </c>
      <c r="I18" t="s">
        <v>31</v>
      </c>
      <c r="K18" t="str">
        <f t="shared" si="1"/>
        <v>07</v>
      </c>
      <c r="L18" s="3">
        <v>12000</v>
      </c>
      <c r="M18" s="5">
        <v>12000</v>
      </c>
      <c r="N18" s="7">
        <v>12000</v>
      </c>
      <c r="O18" s="3">
        <v>0</v>
      </c>
      <c r="P18" s="7">
        <v>0</v>
      </c>
      <c r="Q18" s="7">
        <v>0</v>
      </c>
      <c r="R18" s="7">
        <v>0</v>
      </c>
      <c r="S18" s="7">
        <v>0</v>
      </c>
      <c r="T18" s="7">
        <v>12000</v>
      </c>
      <c r="U18" s="3">
        <v>0</v>
      </c>
      <c r="V18" s="7">
        <v>0</v>
      </c>
      <c r="W18" s="7">
        <v>0</v>
      </c>
      <c r="X18" s="3">
        <v>0</v>
      </c>
      <c r="Y18" s="7">
        <v>0</v>
      </c>
    </row>
    <row r="19" spans="1:25" x14ac:dyDescent="0.25">
      <c r="A19" t="s">
        <v>25</v>
      </c>
      <c r="B19" t="s">
        <v>26</v>
      </c>
      <c r="C19" t="str">
        <f t="shared" si="0"/>
        <v>1</v>
      </c>
      <c r="D19" t="str">
        <f t="shared" si="7"/>
        <v>1</v>
      </c>
      <c r="E19" t="str">
        <f>"0040801"</f>
        <v>0040801</v>
      </c>
      <c r="F19" t="str">
        <f t="shared" si="5"/>
        <v>210202</v>
      </c>
      <c r="G19" t="str">
        <f t="shared" si="6"/>
        <v>90000033</v>
      </c>
      <c r="H19" t="str">
        <f t="shared" si="2"/>
        <v>00</v>
      </c>
      <c r="I19" t="s">
        <v>31</v>
      </c>
      <c r="K19" t="str">
        <f t="shared" si="1"/>
        <v>07</v>
      </c>
      <c r="L19" s="3">
        <v>8000</v>
      </c>
      <c r="M19" s="5">
        <v>8000</v>
      </c>
      <c r="N19" s="7">
        <v>8000</v>
      </c>
      <c r="O19" s="3">
        <v>0</v>
      </c>
      <c r="P19" s="7">
        <v>0</v>
      </c>
      <c r="Q19" s="7">
        <v>0</v>
      </c>
      <c r="R19" s="7">
        <v>0</v>
      </c>
      <c r="S19" s="7">
        <v>0</v>
      </c>
      <c r="T19" s="7">
        <v>8000</v>
      </c>
      <c r="U19" s="3">
        <v>0</v>
      </c>
      <c r="V19" s="7">
        <v>0</v>
      </c>
      <c r="W19" s="7">
        <v>0</v>
      </c>
      <c r="X19" s="3">
        <v>0</v>
      </c>
      <c r="Y19" s="7">
        <v>0</v>
      </c>
    </row>
    <row r="20" spans="1:25" x14ac:dyDescent="0.25">
      <c r="A20" t="s">
        <v>25</v>
      </c>
      <c r="B20" t="s">
        <v>26</v>
      </c>
      <c r="C20" t="str">
        <f t="shared" si="0"/>
        <v>1</v>
      </c>
      <c r="D20" t="str">
        <f t="shared" si="7"/>
        <v>1</v>
      </c>
      <c r="E20" t="str">
        <f>"0040802"</f>
        <v>0040802</v>
      </c>
      <c r="F20" t="str">
        <f t="shared" si="5"/>
        <v>210202</v>
      </c>
      <c r="G20" t="str">
        <f t="shared" si="6"/>
        <v>90000033</v>
      </c>
      <c r="H20" t="str">
        <f t="shared" si="2"/>
        <v>00</v>
      </c>
      <c r="I20" t="s">
        <v>31</v>
      </c>
      <c r="K20" t="str">
        <f t="shared" si="1"/>
        <v>07</v>
      </c>
      <c r="L20" s="3">
        <v>6000</v>
      </c>
      <c r="M20" s="5">
        <v>6000</v>
      </c>
      <c r="N20" s="7">
        <v>6000</v>
      </c>
      <c r="O20" s="3">
        <v>0</v>
      </c>
      <c r="P20" s="7">
        <v>0</v>
      </c>
      <c r="Q20" s="7">
        <v>0</v>
      </c>
      <c r="R20" s="7">
        <v>0</v>
      </c>
      <c r="S20" s="7">
        <v>0</v>
      </c>
      <c r="T20" s="7">
        <v>6000</v>
      </c>
      <c r="U20" s="3">
        <v>0</v>
      </c>
      <c r="V20" s="7">
        <v>0</v>
      </c>
      <c r="W20" s="7">
        <v>0</v>
      </c>
      <c r="X20" s="3">
        <v>0</v>
      </c>
      <c r="Y20" s="7">
        <v>0</v>
      </c>
    </row>
    <row r="21" spans="1:25" x14ac:dyDescent="0.25">
      <c r="A21" t="s">
        <v>25</v>
      </c>
      <c r="B21" t="s">
        <v>26</v>
      </c>
      <c r="C21" t="str">
        <f t="shared" si="0"/>
        <v>1</v>
      </c>
      <c r="D21" t="str">
        <f t="shared" si="7"/>
        <v>1</v>
      </c>
      <c r="E21" t="str">
        <f>"0040803"</f>
        <v>0040803</v>
      </c>
      <c r="F21" t="str">
        <f t="shared" si="5"/>
        <v>210202</v>
      </c>
      <c r="G21" t="str">
        <f t="shared" si="6"/>
        <v>90000033</v>
      </c>
      <c r="H21" t="str">
        <f t="shared" si="2"/>
        <v>00</v>
      </c>
      <c r="I21" t="s">
        <v>31</v>
      </c>
      <c r="K21" t="str">
        <f t="shared" si="1"/>
        <v>07</v>
      </c>
      <c r="L21" s="3">
        <v>6000</v>
      </c>
      <c r="M21" s="5">
        <v>6000</v>
      </c>
      <c r="N21" s="7">
        <v>6000</v>
      </c>
      <c r="O21" s="3">
        <v>0</v>
      </c>
      <c r="P21" s="7">
        <v>0</v>
      </c>
      <c r="Q21" s="7">
        <v>0</v>
      </c>
      <c r="R21" s="7">
        <v>0</v>
      </c>
      <c r="S21" s="7">
        <v>0</v>
      </c>
      <c r="T21" s="7">
        <v>6000</v>
      </c>
      <c r="U21" s="3">
        <v>0</v>
      </c>
      <c r="V21" s="7">
        <v>0</v>
      </c>
      <c r="W21" s="7">
        <v>0</v>
      </c>
      <c r="X21" s="3">
        <v>0</v>
      </c>
      <c r="Y21" s="7">
        <v>0</v>
      </c>
    </row>
    <row r="22" spans="1:25" x14ac:dyDescent="0.25">
      <c r="A22" t="s">
        <v>25</v>
      </c>
      <c r="B22" t="s">
        <v>26</v>
      </c>
      <c r="C22" t="str">
        <f t="shared" si="0"/>
        <v>1</v>
      </c>
      <c r="D22" t="str">
        <f t="shared" si="7"/>
        <v>1</v>
      </c>
      <c r="E22" t="str">
        <f>"0050801"</f>
        <v>0050801</v>
      </c>
      <c r="F22" t="str">
        <f t="shared" si="5"/>
        <v>210202</v>
      </c>
      <c r="G22" t="str">
        <f t="shared" si="6"/>
        <v>90000033</v>
      </c>
      <c r="H22" t="str">
        <f t="shared" si="2"/>
        <v>00</v>
      </c>
      <c r="I22" t="s">
        <v>31</v>
      </c>
      <c r="K22" t="str">
        <f t="shared" si="1"/>
        <v>07</v>
      </c>
      <c r="L22" s="3">
        <v>17606.669999999998</v>
      </c>
      <c r="M22" s="5">
        <v>17606.669999999998</v>
      </c>
      <c r="N22" s="7">
        <v>17606.669999999998</v>
      </c>
      <c r="O22" s="3">
        <v>0</v>
      </c>
      <c r="P22" s="7">
        <v>0</v>
      </c>
      <c r="Q22" s="7">
        <v>0</v>
      </c>
      <c r="R22" s="7">
        <v>0</v>
      </c>
      <c r="S22" s="7">
        <v>0</v>
      </c>
      <c r="T22" s="7">
        <v>17606.669999999998</v>
      </c>
      <c r="U22" s="3">
        <v>0</v>
      </c>
      <c r="V22" s="7">
        <v>0</v>
      </c>
      <c r="W22" s="7">
        <v>0</v>
      </c>
      <c r="X22" s="3">
        <v>0</v>
      </c>
      <c r="Y22" s="7">
        <v>0</v>
      </c>
    </row>
    <row r="23" spans="1:25" x14ac:dyDescent="0.25">
      <c r="A23" t="s">
        <v>25</v>
      </c>
      <c r="B23" t="s">
        <v>26</v>
      </c>
      <c r="C23" t="str">
        <f t="shared" si="0"/>
        <v>1</v>
      </c>
      <c r="D23" t="str">
        <f t="shared" si="7"/>
        <v>1</v>
      </c>
      <c r="E23" t="str">
        <f>"0080402"</f>
        <v>0080402</v>
      </c>
      <c r="F23" t="str">
        <f t="shared" si="5"/>
        <v>210202</v>
      </c>
      <c r="G23" t="str">
        <f t="shared" si="6"/>
        <v>90000033</v>
      </c>
      <c r="H23" t="str">
        <f t="shared" si="2"/>
        <v>00</v>
      </c>
      <c r="I23" t="s">
        <v>31</v>
      </c>
      <c r="K23" t="str">
        <f t="shared" si="1"/>
        <v>07</v>
      </c>
      <c r="L23" s="3">
        <v>16000</v>
      </c>
      <c r="M23" s="5">
        <v>16000</v>
      </c>
      <c r="N23" s="7">
        <v>16000</v>
      </c>
      <c r="O23" s="3">
        <v>0</v>
      </c>
      <c r="P23" s="7">
        <v>0</v>
      </c>
      <c r="Q23" s="7">
        <v>0</v>
      </c>
      <c r="R23" s="7">
        <v>0</v>
      </c>
      <c r="S23" s="7">
        <v>0</v>
      </c>
      <c r="T23" s="7">
        <v>16000</v>
      </c>
      <c r="U23" s="3">
        <v>0</v>
      </c>
      <c r="V23" s="7">
        <v>0</v>
      </c>
      <c r="W23" s="7">
        <v>0</v>
      </c>
      <c r="X23" s="3">
        <v>0</v>
      </c>
      <c r="Y23" s="7">
        <v>0</v>
      </c>
    </row>
    <row r="24" spans="1:25" x14ac:dyDescent="0.25">
      <c r="A24" t="s">
        <v>25</v>
      </c>
      <c r="B24" t="s">
        <v>26</v>
      </c>
      <c r="C24" t="str">
        <f t="shared" si="0"/>
        <v>1</v>
      </c>
      <c r="D24" t="str">
        <f t="shared" si="7"/>
        <v>1</v>
      </c>
      <c r="E24" t="str">
        <f>"0080801"</f>
        <v>0080801</v>
      </c>
      <c r="F24" t="str">
        <f t="shared" si="5"/>
        <v>210202</v>
      </c>
      <c r="G24" t="str">
        <f t="shared" si="6"/>
        <v>90000033</v>
      </c>
      <c r="H24" t="str">
        <f t="shared" si="2"/>
        <v>00</v>
      </c>
      <c r="I24" t="s">
        <v>31</v>
      </c>
      <c r="K24" t="str">
        <f t="shared" si="1"/>
        <v>07</v>
      </c>
      <c r="L24" s="3">
        <v>17606.669999999998</v>
      </c>
      <c r="M24" s="5">
        <v>17606.669999999998</v>
      </c>
      <c r="N24" s="7">
        <v>17606.669999999998</v>
      </c>
      <c r="O24" s="3">
        <v>0</v>
      </c>
      <c r="P24" s="7">
        <v>0</v>
      </c>
      <c r="Q24" s="7">
        <v>0</v>
      </c>
      <c r="R24" s="7">
        <v>0</v>
      </c>
      <c r="S24" s="7">
        <v>0</v>
      </c>
      <c r="T24" s="7">
        <v>17606.669999999998</v>
      </c>
      <c r="U24" s="3">
        <v>0</v>
      </c>
      <c r="V24" s="7">
        <v>0</v>
      </c>
      <c r="W24" s="7">
        <v>0</v>
      </c>
      <c r="X24" s="3">
        <v>0</v>
      </c>
      <c r="Y24" s="7">
        <v>0</v>
      </c>
    </row>
    <row r="25" spans="1:25" x14ac:dyDescent="0.25">
      <c r="A25" t="s">
        <v>25</v>
      </c>
      <c r="B25" t="s">
        <v>26</v>
      </c>
      <c r="C25" t="str">
        <f t="shared" si="0"/>
        <v>1</v>
      </c>
      <c r="D25" t="str">
        <f t="shared" si="7"/>
        <v>1</v>
      </c>
      <c r="E25" t="str">
        <f>"0080802"</f>
        <v>0080802</v>
      </c>
      <c r="F25" t="str">
        <f t="shared" si="5"/>
        <v>210202</v>
      </c>
      <c r="G25" t="str">
        <f t="shared" si="6"/>
        <v>90000033</v>
      </c>
      <c r="H25" t="str">
        <f t="shared" si="2"/>
        <v>00</v>
      </c>
      <c r="I25" t="s">
        <v>31</v>
      </c>
      <c r="K25" t="str">
        <f t="shared" si="1"/>
        <v>07</v>
      </c>
      <c r="L25" s="3">
        <v>22008.33</v>
      </c>
      <c r="M25" s="5">
        <v>22008.33</v>
      </c>
      <c r="N25" s="7">
        <v>22008.33</v>
      </c>
      <c r="O25" s="3">
        <v>0</v>
      </c>
      <c r="P25" s="7">
        <v>0</v>
      </c>
      <c r="Q25" s="7">
        <v>0</v>
      </c>
      <c r="R25" s="7">
        <v>0</v>
      </c>
      <c r="S25" s="7">
        <v>0</v>
      </c>
      <c r="T25" s="7">
        <v>22008.33</v>
      </c>
      <c r="U25" s="3">
        <v>0</v>
      </c>
      <c r="V25" s="7">
        <v>0</v>
      </c>
      <c r="W25" s="7">
        <v>0</v>
      </c>
      <c r="X25" s="3">
        <v>0</v>
      </c>
      <c r="Y25" s="7">
        <v>0</v>
      </c>
    </row>
    <row r="26" spans="1:25" x14ac:dyDescent="0.25">
      <c r="A26" t="s">
        <v>25</v>
      </c>
      <c r="B26" t="s">
        <v>26</v>
      </c>
      <c r="C26" t="str">
        <f t="shared" si="0"/>
        <v>1</v>
      </c>
      <c r="D26" t="str">
        <f t="shared" si="7"/>
        <v>1</v>
      </c>
      <c r="E26" t="str">
        <f>"0090801"</f>
        <v>0090801</v>
      </c>
      <c r="F26" t="str">
        <f t="shared" si="5"/>
        <v>210202</v>
      </c>
      <c r="G26" t="str">
        <f t="shared" si="6"/>
        <v>90000033</v>
      </c>
      <c r="H26" t="str">
        <f t="shared" si="2"/>
        <v>00</v>
      </c>
      <c r="I26" t="s">
        <v>31</v>
      </c>
      <c r="K26" t="str">
        <f t="shared" si="1"/>
        <v>07</v>
      </c>
      <c r="L26" s="3">
        <v>18000</v>
      </c>
      <c r="M26" s="5">
        <v>18000</v>
      </c>
      <c r="N26" s="7">
        <v>18000</v>
      </c>
      <c r="O26" s="3">
        <v>0</v>
      </c>
      <c r="P26" s="7">
        <v>0</v>
      </c>
      <c r="Q26" s="7">
        <v>0</v>
      </c>
      <c r="R26" s="7">
        <v>0</v>
      </c>
      <c r="S26" s="7">
        <v>0</v>
      </c>
      <c r="T26" s="7">
        <v>18000</v>
      </c>
      <c r="U26" s="3">
        <v>0</v>
      </c>
      <c r="V26" s="7">
        <v>0</v>
      </c>
      <c r="W26" s="7">
        <v>0</v>
      </c>
      <c r="X26" s="3">
        <v>0</v>
      </c>
      <c r="Y26" s="7">
        <v>0</v>
      </c>
    </row>
    <row r="27" spans="1:25" x14ac:dyDescent="0.25">
      <c r="A27" t="s">
        <v>25</v>
      </c>
      <c r="B27" t="s">
        <v>26</v>
      </c>
      <c r="C27" t="str">
        <f t="shared" si="0"/>
        <v>1</v>
      </c>
      <c r="D27" t="str">
        <f t="shared" si="7"/>
        <v>1</v>
      </c>
      <c r="E27" t="str">
        <f>"0090802"</f>
        <v>0090802</v>
      </c>
      <c r="F27" t="str">
        <f t="shared" si="5"/>
        <v>210202</v>
      </c>
      <c r="G27" t="str">
        <f t="shared" si="6"/>
        <v>90000033</v>
      </c>
      <c r="H27" t="str">
        <f t="shared" si="2"/>
        <v>00</v>
      </c>
      <c r="I27" t="s">
        <v>31</v>
      </c>
      <c r="K27" t="str">
        <f t="shared" si="1"/>
        <v>07</v>
      </c>
      <c r="L27" s="3">
        <v>13500</v>
      </c>
      <c r="M27" s="5">
        <v>13500</v>
      </c>
      <c r="N27" s="7">
        <v>13500</v>
      </c>
      <c r="O27" s="3">
        <v>0</v>
      </c>
      <c r="P27" s="7">
        <v>0</v>
      </c>
      <c r="Q27" s="7">
        <v>0</v>
      </c>
      <c r="R27" s="7">
        <v>0</v>
      </c>
      <c r="S27" s="7">
        <v>0</v>
      </c>
      <c r="T27" s="7">
        <v>13500</v>
      </c>
      <c r="U27" s="3">
        <v>0</v>
      </c>
      <c r="V27" s="7">
        <v>0</v>
      </c>
      <c r="W27" s="7">
        <v>0</v>
      </c>
      <c r="X27" s="3">
        <v>0</v>
      </c>
      <c r="Y27" s="7">
        <v>0</v>
      </c>
    </row>
    <row r="28" spans="1:25" x14ac:dyDescent="0.25">
      <c r="A28" t="s">
        <v>25</v>
      </c>
      <c r="B28" t="s">
        <v>26</v>
      </c>
      <c r="C28" t="str">
        <f t="shared" si="0"/>
        <v>1</v>
      </c>
      <c r="D28" t="str">
        <f t="shared" si="7"/>
        <v>1</v>
      </c>
      <c r="E28" t="str">
        <f>"0108004"</f>
        <v>0108004</v>
      </c>
      <c r="F28" t="str">
        <f t="shared" si="5"/>
        <v>210202</v>
      </c>
      <c r="G28" t="str">
        <f>"90000032"</f>
        <v>90000032</v>
      </c>
      <c r="H28" t="str">
        <f t="shared" si="2"/>
        <v>00</v>
      </c>
      <c r="I28" t="s">
        <v>28</v>
      </c>
      <c r="K28" t="str">
        <f t="shared" si="1"/>
        <v>07</v>
      </c>
      <c r="L28" s="3">
        <v>670</v>
      </c>
      <c r="M28" s="5">
        <v>670</v>
      </c>
      <c r="N28" s="7">
        <v>670</v>
      </c>
      <c r="O28" s="3">
        <v>0</v>
      </c>
      <c r="P28" s="7">
        <v>0</v>
      </c>
      <c r="Q28" s="7">
        <v>0</v>
      </c>
      <c r="R28" s="7">
        <v>0</v>
      </c>
      <c r="S28" s="7">
        <v>0</v>
      </c>
      <c r="T28" s="7">
        <v>670</v>
      </c>
      <c r="U28" s="3">
        <v>0</v>
      </c>
      <c r="V28" s="7">
        <v>0</v>
      </c>
      <c r="W28" s="7">
        <v>0</v>
      </c>
      <c r="X28" s="3">
        <v>0</v>
      </c>
      <c r="Y28" s="7">
        <v>0</v>
      </c>
    </row>
    <row r="29" spans="1:25" x14ac:dyDescent="0.25">
      <c r="A29" t="s">
        <v>25</v>
      </c>
      <c r="B29" t="s">
        <v>26</v>
      </c>
      <c r="C29" t="str">
        <f t="shared" si="0"/>
        <v>1</v>
      </c>
      <c r="D29" t="s">
        <v>27</v>
      </c>
      <c r="E29" t="str">
        <f>"0108005"</f>
        <v>0108005</v>
      </c>
      <c r="F29" t="str">
        <f t="shared" si="5"/>
        <v>210202</v>
      </c>
      <c r="G29" t="str">
        <f>"90000032"</f>
        <v>90000032</v>
      </c>
      <c r="H29" t="str">
        <f t="shared" si="2"/>
        <v>00</v>
      </c>
      <c r="I29" t="s">
        <v>28</v>
      </c>
      <c r="K29" t="str">
        <f t="shared" si="1"/>
        <v>07</v>
      </c>
      <c r="L29" s="3">
        <v>670</v>
      </c>
      <c r="M29" s="5">
        <v>670</v>
      </c>
      <c r="N29" s="7">
        <v>670</v>
      </c>
      <c r="O29" s="3">
        <v>0</v>
      </c>
      <c r="P29" s="7">
        <v>0</v>
      </c>
      <c r="Q29" s="7">
        <v>0</v>
      </c>
      <c r="R29" s="7">
        <v>0</v>
      </c>
      <c r="S29" s="7">
        <v>0</v>
      </c>
      <c r="T29" s="7">
        <v>670</v>
      </c>
      <c r="U29" s="3">
        <v>0</v>
      </c>
      <c r="V29" s="7">
        <v>0</v>
      </c>
      <c r="W29" s="7">
        <v>0</v>
      </c>
      <c r="X29" s="3">
        <v>0</v>
      </c>
      <c r="Y29" s="7">
        <v>0</v>
      </c>
    </row>
    <row r="30" spans="1:25" x14ac:dyDescent="0.25">
      <c r="A30" t="s">
        <v>25</v>
      </c>
      <c r="B30" t="s">
        <v>26</v>
      </c>
      <c r="C30" t="str">
        <f t="shared" si="0"/>
        <v>1</v>
      </c>
      <c r="D30" t="str">
        <f>"1"</f>
        <v>1</v>
      </c>
      <c r="E30" t="str">
        <f>"0110801"</f>
        <v>0110801</v>
      </c>
      <c r="F30" t="str">
        <f t="shared" si="5"/>
        <v>210202</v>
      </c>
      <c r="G30" t="str">
        <f>"90000033"</f>
        <v>90000033</v>
      </c>
      <c r="H30" t="str">
        <f t="shared" si="2"/>
        <v>00</v>
      </c>
      <c r="I30" t="s">
        <v>31</v>
      </c>
      <c r="K30" t="str">
        <f t="shared" si="1"/>
        <v>07</v>
      </c>
      <c r="L30" s="3">
        <v>13500</v>
      </c>
      <c r="M30" s="5">
        <v>13500</v>
      </c>
      <c r="N30" s="7">
        <v>13500</v>
      </c>
      <c r="O30" s="3">
        <v>0</v>
      </c>
      <c r="P30" s="7">
        <v>0</v>
      </c>
      <c r="Q30" s="7">
        <v>0</v>
      </c>
      <c r="R30" s="7">
        <v>0</v>
      </c>
      <c r="S30" s="7">
        <v>0</v>
      </c>
      <c r="T30" s="7">
        <v>13500</v>
      </c>
      <c r="U30" s="3">
        <v>0</v>
      </c>
      <c r="V30" s="7">
        <v>0</v>
      </c>
      <c r="W30" s="7">
        <v>0</v>
      </c>
      <c r="X30" s="3">
        <v>0</v>
      </c>
      <c r="Y30" s="7">
        <v>0</v>
      </c>
    </row>
    <row r="31" spans="1:25" x14ac:dyDescent="0.25">
      <c r="A31" t="s">
        <v>25</v>
      </c>
      <c r="B31" t="s">
        <v>26</v>
      </c>
      <c r="C31" t="str">
        <f t="shared" si="0"/>
        <v>1</v>
      </c>
      <c r="D31" t="str">
        <f>"1"</f>
        <v>1</v>
      </c>
      <c r="E31" t="str">
        <f>"0170801"</f>
        <v>0170801</v>
      </c>
      <c r="F31" t="str">
        <f t="shared" si="5"/>
        <v>210202</v>
      </c>
      <c r="G31" t="str">
        <f>"90000033"</f>
        <v>90000033</v>
      </c>
      <c r="H31" t="str">
        <f t="shared" si="2"/>
        <v>00</v>
      </c>
      <c r="I31" t="s">
        <v>31</v>
      </c>
      <c r="K31" t="str">
        <f t="shared" si="1"/>
        <v>07</v>
      </c>
      <c r="L31" s="3">
        <v>13500</v>
      </c>
      <c r="M31" s="5">
        <v>13500</v>
      </c>
      <c r="N31" s="7">
        <v>13500</v>
      </c>
      <c r="O31" s="3">
        <v>0</v>
      </c>
      <c r="P31" s="7">
        <v>0</v>
      </c>
      <c r="Q31" s="7">
        <v>0</v>
      </c>
      <c r="R31" s="7">
        <v>0</v>
      </c>
      <c r="S31" s="7">
        <v>0</v>
      </c>
      <c r="T31" s="7">
        <v>13500</v>
      </c>
      <c r="U31" s="3">
        <v>0</v>
      </c>
      <c r="V31" s="7">
        <v>0</v>
      </c>
      <c r="W31" s="7">
        <v>0</v>
      </c>
      <c r="X31" s="3">
        <v>0</v>
      </c>
      <c r="Y31" s="7">
        <v>0</v>
      </c>
    </row>
    <row r="32" spans="1:25" x14ac:dyDescent="0.25">
      <c r="A32" t="s">
        <v>25</v>
      </c>
      <c r="B32" t="s">
        <v>26</v>
      </c>
      <c r="C32" t="str">
        <f t="shared" si="0"/>
        <v>1</v>
      </c>
      <c r="D32" t="str">
        <f>"1"</f>
        <v>1</v>
      </c>
      <c r="E32" t="str">
        <f>"0208111"</f>
        <v>0208111</v>
      </c>
      <c r="F32" t="str">
        <f t="shared" si="5"/>
        <v>210202</v>
      </c>
      <c r="G32" t="str">
        <f>"90000033"</f>
        <v>90000033</v>
      </c>
      <c r="H32" t="str">
        <f t="shared" si="2"/>
        <v>00</v>
      </c>
      <c r="I32" t="s">
        <v>28</v>
      </c>
      <c r="K32" t="str">
        <f t="shared" si="1"/>
        <v>07</v>
      </c>
      <c r="L32" s="3">
        <v>467660.01</v>
      </c>
      <c r="M32" s="5">
        <v>467660.01</v>
      </c>
      <c r="N32" s="7">
        <v>467660.01</v>
      </c>
      <c r="O32" s="3">
        <v>0</v>
      </c>
      <c r="P32" s="7">
        <v>0</v>
      </c>
      <c r="Q32" s="7">
        <v>0</v>
      </c>
      <c r="R32" s="7">
        <v>0</v>
      </c>
      <c r="S32" s="7">
        <v>0</v>
      </c>
      <c r="T32" s="7">
        <v>467660.01</v>
      </c>
      <c r="U32" s="3">
        <v>0</v>
      </c>
      <c r="V32" s="7">
        <v>0</v>
      </c>
      <c r="W32" s="7">
        <v>0</v>
      </c>
      <c r="X32" s="3">
        <v>0</v>
      </c>
      <c r="Y32" s="7">
        <v>0</v>
      </c>
    </row>
    <row r="33" spans="1:25" x14ac:dyDescent="0.25">
      <c r="A33" t="s">
        <v>25</v>
      </c>
      <c r="B33" t="s">
        <v>26</v>
      </c>
      <c r="C33" t="str">
        <f t="shared" si="0"/>
        <v>1</v>
      </c>
      <c r="D33" t="str">
        <f>"5"</f>
        <v>5</v>
      </c>
      <c r="E33" t="str">
        <f>"0208112"</f>
        <v>0208112</v>
      </c>
      <c r="F33" t="str">
        <f>"210206"</f>
        <v>210206</v>
      </c>
      <c r="G33" t="str">
        <f>"90000033"</f>
        <v>90000033</v>
      </c>
      <c r="H33" t="str">
        <f t="shared" si="2"/>
        <v>00</v>
      </c>
      <c r="I33" t="s">
        <v>28</v>
      </c>
      <c r="K33" t="str">
        <f t="shared" si="1"/>
        <v>07</v>
      </c>
      <c r="L33" s="3">
        <v>1340</v>
      </c>
      <c r="M33" s="5">
        <v>1340</v>
      </c>
      <c r="N33" s="7">
        <v>1340</v>
      </c>
      <c r="O33" s="3">
        <v>0</v>
      </c>
      <c r="P33" s="7">
        <v>0</v>
      </c>
      <c r="Q33" s="7">
        <v>0</v>
      </c>
      <c r="R33" s="7">
        <v>0</v>
      </c>
      <c r="S33" s="7">
        <v>0</v>
      </c>
      <c r="T33" s="7">
        <v>1340</v>
      </c>
      <c r="U33" s="3">
        <v>0</v>
      </c>
      <c r="V33" s="7">
        <v>0</v>
      </c>
      <c r="W33" s="7">
        <v>0</v>
      </c>
      <c r="X33" s="3">
        <v>0</v>
      </c>
      <c r="Y33" s="7">
        <v>0</v>
      </c>
    </row>
    <row r="34" spans="1:25" x14ac:dyDescent="0.25">
      <c r="A34" t="s">
        <v>25</v>
      </c>
      <c r="B34" t="s">
        <v>26</v>
      </c>
      <c r="C34" t="str">
        <f t="shared" si="0"/>
        <v>1</v>
      </c>
      <c r="D34" t="s">
        <v>27</v>
      </c>
      <c r="E34" t="str">
        <f>"2011080101"</f>
        <v>2011080101</v>
      </c>
      <c r="F34" t="str">
        <f>"210202"</f>
        <v>210202</v>
      </c>
      <c r="G34" t="str">
        <f>"90000032"</f>
        <v>90000032</v>
      </c>
      <c r="H34" t="str">
        <f t="shared" si="2"/>
        <v>00</v>
      </c>
      <c r="I34" t="s">
        <v>29</v>
      </c>
      <c r="K34" t="str">
        <f t="shared" ref="K34:K65" si="8">"07"</f>
        <v>07</v>
      </c>
      <c r="L34" s="3">
        <v>3391.67</v>
      </c>
      <c r="M34" s="5">
        <v>3391.67</v>
      </c>
      <c r="N34" s="7">
        <v>3391.67</v>
      </c>
      <c r="O34" s="3">
        <v>0</v>
      </c>
      <c r="P34" s="7">
        <v>0</v>
      </c>
      <c r="Q34" s="7">
        <v>0</v>
      </c>
      <c r="R34" s="7">
        <v>0</v>
      </c>
      <c r="S34" s="7">
        <v>0</v>
      </c>
      <c r="T34" s="7">
        <v>3391.67</v>
      </c>
      <c r="U34" s="3">
        <v>0</v>
      </c>
      <c r="V34" s="7">
        <v>0</v>
      </c>
      <c r="W34" s="7">
        <v>0</v>
      </c>
      <c r="X34" s="3">
        <v>0</v>
      </c>
      <c r="Y34" s="7">
        <v>0</v>
      </c>
    </row>
    <row r="35" spans="1:25" x14ac:dyDescent="0.25">
      <c r="A35" t="s">
        <v>25</v>
      </c>
      <c r="B35" t="s">
        <v>26</v>
      </c>
      <c r="C35" t="str">
        <f t="shared" ref="C35:C73" si="9">"10000"</f>
        <v>10000</v>
      </c>
      <c r="D35" t="str">
        <f>"5"</f>
        <v>5</v>
      </c>
      <c r="E35" t="str">
        <f>"0000019"</f>
        <v>0000019</v>
      </c>
      <c r="F35" t="str">
        <f t="shared" ref="F35:F63" si="10">"210201"</f>
        <v>210201</v>
      </c>
      <c r="G35" t="str">
        <f t="shared" ref="G35:G50" si="11">"90000035"</f>
        <v>90000035</v>
      </c>
      <c r="H35" t="str">
        <f t="shared" ref="H35:H63" si="12">"01"</f>
        <v>01</v>
      </c>
      <c r="I35" t="s">
        <v>29</v>
      </c>
      <c r="K35" t="str">
        <f t="shared" si="8"/>
        <v>07</v>
      </c>
      <c r="L35" s="3">
        <v>2945</v>
      </c>
      <c r="M35" s="5">
        <v>0</v>
      </c>
      <c r="N35" s="7">
        <v>2945</v>
      </c>
      <c r="O35" s="3">
        <v>0</v>
      </c>
      <c r="P35" s="7">
        <v>0</v>
      </c>
      <c r="Q35" s="7">
        <v>0</v>
      </c>
      <c r="R35" s="7">
        <v>0</v>
      </c>
      <c r="S35" s="7">
        <v>0</v>
      </c>
      <c r="T35" s="7">
        <v>2945</v>
      </c>
      <c r="U35" s="3">
        <v>0</v>
      </c>
      <c r="V35" s="7">
        <v>0</v>
      </c>
      <c r="W35" s="7">
        <v>0</v>
      </c>
      <c r="X35" s="3">
        <v>0</v>
      </c>
      <c r="Y35" s="7">
        <v>0</v>
      </c>
    </row>
    <row r="36" spans="1:25" x14ac:dyDescent="0.25">
      <c r="A36" t="s">
        <v>25</v>
      </c>
      <c r="B36" t="s">
        <v>26</v>
      </c>
      <c r="C36" t="str">
        <f t="shared" si="9"/>
        <v>10000</v>
      </c>
      <c r="D36" t="s">
        <v>27</v>
      </c>
      <c r="E36" t="str">
        <f>"0000027"</f>
        <v>0000027</v>
      </c>
      <c r="F36" t="str">
        <f t="shared" si="10"/>
        <v>210201</v>
      </c>
      <c r="G36" t="str">
        <f t="shared" si="11"/>
        <v>90000035</v>
      </c>
      <c r="H36" t="str">
        <f t="shared" si="12"/>
        <v>01</v>
      </c>
      <c r="I36" t="s">
        <v>29</v>
      </c>
      <c r="K36" t="str">
        <f t="shared" si="8"/>
        <v>07</v>
      </c>
      <c r="L36" s="3">
        <v>10175</v>
      </c>
      <c r="M36" s="5">
        <v>0</v>
      </c>
      <c r="N36" s="7">
        <v>10175</v>
      </c>
      <c r="O36" s="3">
        <v>0</v>
      </c>
      <c r="P36" s="7">
        <v>0</v>
      </c>
      <c r="Q36" s="7">
        <v>0</v>
      </c>
      <c r="R36" s="7">
        <v>0</v>
      </c>
      <c r="S36" s="7">
        <v>0</v>
      </c>
      <c r="T36" s="7">
        <v>10175</v>
      </c>
      <c r="U36" s="3">
        <v>0</v>
      </c>
      <c r="V36" s="7">
        <v>0</v>
      </c>
      <c r="W36" s="7">
        <v>0</v>
      </c>
      <c r="X36" s="3">
        <v>0</v>
      </c>
      <c r="Y36" s="7">
        <v>0</v>
      </c>
    </row>
    <row r="37" spans="1:25" x14ac:dyDescent="0.25">
      <c r="A37" t="s">
        <v>25</v>
      </c>
      <c r="B37" t="s">
        <v>26</v>
      </c>
      <c r="C37" t="str">
        <f t="shared" si="9"/>
        <v>10000</v>
      </c>
      <c r="D37" t="s">
        <v>27</v>
      </c>
      <c r="E37" t="str">
        <f>"0000028"</f>
        <v>0000028</v>
      </c>
      <c r="F37" t="str">
        <f t="shared" si="10"/>
        <v>210201</v>
      </c>
      <c r="G37" t="str">
        <f t="shared" si="11"/>
        <v>90000035</v>
      </c>
      <c r="H37" t="str">
        <f t="shared" si="12"/>
        <v>01</v>
      </c>
      <c r="I37" t="s">
        <v>29</v>
      </c>
      <c r="K37" t="str">
        <f t="shared" si="8"/>
        <v>07</v>
      </c>
      <c r="L37" s="3">
        <v>6783.33</v>
      </c>
      <c r="M37" s="5">
        <v>0</v>
      </c>
      <c r="N37" s="7">
        <v>6783.33</v>
      </c>
      <c r="O37" s="3">
        <v>0</v>
      </c>
      <c r="P37" s="7">
        <v>0</v>
      </c>
      <c r="Q37" s="7">
        <v>0</v>
      </c>
      <c r="R37" s="7">
        <v>0</v>
      </c>
      <c r="S37" s="7">
        <v>0</v>
      </c>
      <c r="T37" s="7">
        <v>6783.33</v>
      </c>
      <c r="U37" s="3">
        <v>0</v>
      </c>
      <c r="V37" s="7">
        <v>0</v>
      </c>
      <c r="W37" s="7">
        <v>0</v>
      </c>
      <c r="X37" s="3">
        <v>0</v>
      </c>
      <c r="Y37" s="7">
        <v>0</v>
      </c>
    </row>
    <row r="38" spans="1:25" x14ac:dyDescent="0.25">
      <c r="A38" t="s">
        <v>25</v>
      </c>
      <c r="B38" t="s">
        <v>26</v>
      </c>
      <c r="C38" t="str">
        <f t="shared" si="9"/>
        <v>10000</v>
      </c>
      <c r="D38" t="s">
        <v>27</v>
      </c>
      <c r="E38" t="str">
        <f>"0000029"</f>
        <v>0000029</v>
      </c>
      <c r="F38" t="str">
        <f t="shared" si="10"/>
        <v>210201</v>
      </c>
      <c r="G38" t="str">
        <f t="shared" si="11"/>
        <v>90000035</v>
      </c>
      <c r="H38" t="str">
        <f t="shared" si="12"/>
        <v>01</v>
      </c>
      <c r="I38" t="s">
        <v>29</v>
      </c>
      <c r="K38" t="str">
        <f t="shared" si="8"/>
        <v>07</v>
      </c>
      <c r="L38" s="3">
        <v>6783.33</v>
      </c>
      <c r="M38" s="5">
        <v>0</v>
      </c>
      <c r="N38" s="7">
        <v>6783.33</v>
      </c>
      <c r="O38" s="3">
        <v>0</v>
      </c>
      <c r="P38" s="7">
        <v>0</v>
      </c>
      <c r="Q38" s="7">
        <v>0</v>
      </c>
      <c r="R38" s="7">
        <v>0</v>
      </c>
      <c r="S38" s="7">
        <v>0</v>
      </c>
      <c r="T38" s="7">
        <v>6783.33</v>
      </c>
      <c r="U38" s="3">
        <v>0</v>
      </c>
      <c r="V38" s="7">
        <v>0</v>
      </c>
      <c r="W38" s="7">
        <v>0</v>
      </c>
      <c r="X38" s="3">
        <v>0</v>
      </c>
      <c r="Y38" s="7">
        <v>0</v>
      </c>
    </row>
    <row r="39" spans="1:25" x14ac:dyDescent="0.25">
      <c r="A39" t="s">
        <v>25</v>
      </c>
      <c r="B39" t="s">
        <v>26</v>
      </c>
      <c r="C39" t="str">
        <f t="shared" si="9"/>
        <v>10000</v>
      </c>
      <c r="D39" t="s">
        <v>27</v>
      </c>
      <c r="E39" t="str">
        <f>"0000030"</f>
        <v>0000030</v>
      </c>
      <c r="F39" t="str">
        <f t="shared" si="10"/>
        <v>210201</v>
      </c>
      <c r="G39" t="str">
        <f t="shared" si="11"/>
        <v>90000035</v>
      </c>
      <c r="H39" t="str">
        <f t="shared" si="12"/>
        <v>01</v>
      </c>
      <c r="I39" t="s">
        <v>29</v>
      </c>
      <c r="K39" t="str">
        <f t="shared" si="8"/>
        <v>07</v>
      </c>
      <c r="L39" s="3">
        <v>6783.33</v>
      </c>
      <c r="M39" s="5">
        <v>0</v>
      </c>
      <c r="N39" s="7">
        <v>6783.33</v>
      </c>
      <c r="O39" s="3">
        <v>0</v>
      </c>
      <c r="P39" s="7">
        <v>0</v>
      </c>
      <c r="Q39" s="7">
        <v>0</v>
      </c>
      <c r="R39" s="7">
        <v>0</v>
      </c>
      <c r="S39" s="7">
        <v>0</v>
      </c>
      <c r="T39" s="7">
        <v>6783.33</v>
      </c>
      <c r="U39" s="3">
        <v>0</v>
      </c>
      <c r="V39" s="7">
        <v>0</v>
      </c>
      <c r="W39" s="7">
        <v>0</v>
      </c>
      <c r="X39" s="3">
        <v>0</v>
      </c>
      <c r="Y39" s="7">
        <v>0</v>
      </c>
    </row>
    <row r="40" spans="1:25" x14ac:dyDescent="0.25">
      <c r="A40" t="s">
        <v>25</v>
      </c>
      <c r="B40" t="s">
        <v>26</v>
      </c>
      <c r="C40" t="str">
        <f t="shared" si="9"/>
        <v>10000</v>
      </c>
      <c r="D40" t="s">
        <v>27</v>
      </c>
      <c r="E40" t="str">
        <f>"0000031"</f>
        <v>0000031</v>
      </c>
      <c r="F40" t="str">
        <f t="shared" si="10"/>
        <v>210201</v>
      </c>
      <c r="G40" t="str">
        <f t="shared" si="11"/>
        <v>90000035</v>
      </c>
      <c r="H40" t="str">
        <f t="shared" si="12"/>
        <v>01</v>
      </c>
      <c r="I40" t="s">
        <v>29</v>
      </c>
      <c r="K40" t="str">
        <f t="shared" si="8"/>
        <v>07</v>
      </c>
      <c r="L40" s="3">
        <v>6783.33</v>
      </c>
      <c r="M40" s="5">
        <v>0</v>
      </c>
      <c r="N40" s="7">
        <v>6783.33</v>
      </c>
      <c r="O40" s="3">
        <v>0</v>
      </c>
      <c r="P40" s="7">
        <v>0</v>
      </c>
      <c r="Q40" s="7">
        <v>0</v>
      </c>
      <c r="R40" s="7">
        <v>0</v>
      </c>
      <c r="S40" s="7">
        <v>0</v>
      </c>
      <c r="T40" s="7">
        <v>6783.33</v>
      </c>
      <c r="U40" s="3">
        <v>0</v>
      </c>
      <c r="V40" s="7">
        <v>0</v>
      </c>
      <c r="W40" s="7">
        <v>0</v>
      </c>
      <c r="X40" s="3">
        <v>0</v>
      </c>
      <c r="Y40" s="7">
        <v>0</v>
      </c>
    </row>
    <row r="41" spans="1:25" x14ac:dyDescent="0.25">
      <c r="A41" t="s">
        <v>25</v>
      </c>
      <c r="B41" t="s">
        <v>26</v>
      </c>
      <c r="C41" t="str">
        <f t="shared" si="9"/>
        <v>10000</v>
      </c>
      <c r="D41" t="s">
        <v>27</v>
      </c>
      <c r="E41" t="str">
        <f>"0000032"</f>
        <v>0000032</v>
      </c>
      <c r="F41" t="str">
        <f t="shared" si="10"/>
        <v>210201</v>
      </c>
      <c r="G41" t="str">
        <f t="shared" si="11"/>
        <v>90000035</v>
      </c>
      <c r="H41" t="str">
        <f t="shared" si="12"/>
        <v>01</v>
      </c>
      <c r="I41" t="s">
        <v>29</v>
      </c>
      <c r="K41" t="str">
        <f t="shared" si="8"/>
        <v>07</v>
      </c>
      <c r="L41" s="3">
        <v>6783.33</v>
      </c>
      <c r="M41" s="5">
        <v>0</v>
      </c>
      <c r="N41" s="7">
        <v>6783.33</v>
      </c>
      <c r="O41" s="3">
        <v>0</v>
      </c>
      <c r="P41" s="7">
        <v>0</v>
      </c>
      <c r="Q41" s="7">
        <v>0</v>
      </c>
      <c r="R41" s="7">
        <v>0</v>
      </c>
      <c r="S41" s="7">
        <v>0</v>
      </c>
      <c r="T41" s="7">
        <v>6783.33</v>
      </c>
      <c r="U41" s="3">
        <v>0</v>
      </c>
      <c r="V41" s="7">
        <v>0</v>
      </c>
      <c r="W41" s="7">
        <v>0</v>
      </c>
      <c r="X41" s="3">
        <v>0</v>
      </c>
      <c r="Y41" s="7">
        <v>0</v>
      </c>
    </row>
    <row r="42" spans="1:25" x14ac:dyDescent="0.25">
      <c r="A42" t="s">
        <v>25</v>
      </c>
      <c r="B42" t="s">
        <v>26</v>
      </c>
      <c r="C42" t="str">
        <f t="shared" si="9"/>
        <v>10000</v>
      </c>
      <c r="D42" t="s">
        <v>27</v>
      </c>
      <c r="E42" t="str">
        <f>"0000033"</f>
        <v>0000033</v>
      </c>
      <c r="F42" t="str">
        <f t="shared" si="10"/>
        <v>210201</v>
      </c>
      <c r="G42" t="str">
        <f t="shared" si="11"/>
        <v>90000035</v>
      </c>
      <c r="H42" t="str">
        <f t="shared" si="12"/>
        <v>01</v>
      </c>
      <c r="I42" t="s">
        <v>29</v>
      </c>
      <c r="K42" t="str">
        <f t="shared" si="8"/>
        <v>07</v>
      </c>
      <c r="L42" s="3">
        <v>16958.330000000002</v>
      </c>
      <c r="M42" s="5">
        <v>0</v>
      </c>
      <c r="N42" s="7">
        <v>16958.330000000002</v>
      </c>
      <c r="O42" s="3">
        <v>0</v>
      </c>
      <c r="P42" s="7">
        <v>0</v>
      </c>
      <c r="Q42" s="7">
        <v>0</v>
      </c>
      <c r="R42" s="7">
        <v>0</v>
      </c>
      <c r="S42" s="7">
        <v>0</v>
      </c>
      <c r="T42" s="7">
        <v>16958.330000000002</v>
      </c>
      <c r="U42" s="3">
        <v>0</v>
      </c>
      <c r="V42" s="7">
        <v>0</v>
      </c>
      <c r="W42" s="7">
        <v>0</v>
      </c>
      <c r="X42" s="3">
        <v>0</v>
      </c>
      <c r="Y42" s="7">
        <v>0</v>
      </c>
    </row>
    <row r="43" spans="1:25" x14ac:dyDescent="0.25">
      <c r="A43" t="s">
        <v>25</v>
      </c>
      <c r="B43" t="s">
        <v>26</v>
      </c>
      <c r="C43" t="str">
        <f t="shared" si="9"/>
        <v>10000</v>
      </c>
      <c r="D43" t="s">
        <v>27</v>
      </c>
      <c r="E43" t="str">
        <f>"0000034"</f>
        <v>0000034</v>
      </c>
      <c r="F43" t="str">
        <f t="shared" si="10"/>
        <v>210201</v>
      </c>
      <c r="G43" t="str">
        <f t="shared" si="11"/>
        <v>90000035</v>
      </c>
      <c r="H43" t="str">
        <f t="shared" si="12"/>
        <v>01</v>
      </c>
      <c r="I43" t="s">
        <v>29</v>
      </c>
      <c r="K43" t="str">
        <f t="shared" si="8"/>
        <v>07</v>
      </c>
      <c r="L43" s="3">
        <v>16958.330000000002</v>
      </c>
      <c r="M43" s="5">
        <v>0</v>
      </c>
      <c r="N43" s="7">
        <v>16958.330000000002</v>
      </c>
      <c r="O43" s="3">
        <v>0</v>
      </c>
      <c r="P43" s="7">
        <v>0</v>
      </c>
      <c r="Q43" s="7">
        <v>0</v>
      </c>
      <c r="R43" s="7">
        <v>0</v>
      </c>
      <c r="S43" s="7">
        <v>0</v>
      </c>
      <c r="T43" s="7">
        <v>16958.330000000002</v>
      </c>
      <c r="U43" s="3">
        <v>0</v>
      </c>
      <c r="V43" s="7">
        <v>0</v>
      </c>
      <c r="W43" s="7">
        <v>0</v>
      </c>
      <c r="X43" s="3">
        <v>0</v>
      </c>
      <c r="Y43" s="7">
        <v>0</v>
      </c>
    </row>
    <row r="44" spans="1:25" x14ac:dyDescent="0.25">
      <c r="A44" t="s">
        <v>25</v>
      </c>
      <c r="B44" t="s">
        <v>26</v>
      </c>
      <c r="C44" t="str">
        <f t="shared" si="9"/>
        <v>10000</v>
      </c>
      <c r="D44" t="s">
        <v>27</v>
      </c>
      <c r="E44" t="str">
        <f>"0000035"</f>
        <v>0000035</v>
      </c>
      <c r="F44" t="str">
        <f t="shared" si="10"/>
        <v>210201</v>
      </c>
      <c r="G44" t="str">
        <f t="shared" si="11"/>
        <v>90000035</v>
      </c>
      <c r="H44" t="str">
        <f t="shared" si="12"/>
        <v>01</v>
      </c>
      <c r="I44" t="s">
        <v>29</v>
      </c>
      <c r="K44" t="str">
        <f t="shared" si="8"/>
        <v>07</v>
      </c>
      <c r="L44" s="3">
        <v>6783.33</v>
      </c>
      <c r="M44" s="5">
        <v>0</v>
      </c>
      <c r="N44" s="7">
        <v>6783.33</v>
      </c>
      <c r="O44" s="3">
        <v>0</v>
      </c>
      <c r="P44" s="7">
        <v>0</v>
      </c>
      <c r="Q44" s="7">
        <v>0</v>
      </c>
      <c r="R44" s="7">
        <v>0</v>
      </c>
      <c r="S44" s="7">
        <v>0</v>
      </c>
      <c r="T44" s="7">
        <v>6783.33</v>
      </c>
      <c r="U44" s="3">
        <v>0</v>
      </c>
      <c r="V44" s="7">
        <v>0</v>
      </c>
      <c r="W44" s="7">
        <v>0</v>
      </c>
      <c r="X44" s="3">
        <v>0</v>
      </c>
      <c r="Y44" s="7">
        <v>0</v>
      </c>
    </row>
    <row r="45" spans="1:25" x14ac:dyDescent="0.25">
      <c r="A45" t="s">
        <v>25</v>
      </c>
      <c r="B45" t="s">
        <v>26</v>
      </c>
      <c r="C45" t="str">
        <f t="shared" si="9"/>
        <v>10000</v>
      </c>
      <c r="D45" t="s">
        <v>27</v>
      </c>
      <c r="E45" t="str">
        <f>"0000036"</f>
        <v>0000036</v>
      </c>
      <c r="F45" t="str">
        <f t="shared" si="10"/>
        <v>210201</v>
      </c>
      <c r="G45" t="str">
        <f t="shared" si="11"/>
        <v>90000035</v>
      </c>
      <c r="H45" t="str">
        <f t="shared" si="12"/>
        <v>01</v>
      </c>
      <c r="I45" t="s">
        <v>29</v>
      </c>
      <c r="K45" t="str">
        <f t="shared" si="8"/>
        <v>07</v>
      </c>
      <c r="L45" s="3">
        <v>6783.33</v>
      </c>
      <c r="M45" s="5">
        <v>0</v>
      </c>
      <c r="N45" s="7">
        <v>6783.33</v>
      </c>
      <c r="O45" s="3">
        <v>0</v>
      </c>
      <c r="P45" s="7">
        <v>0</v>
      </c>
      <c r="Q45" s="7">
        <v>0</v>
      </c>
      <c r="R45" s="7">
        <v>0</v>
      </c>
      <c r="S45" s="7">
        <v>0</v>
      </c>
      <c r="T45" s="7">
        <v>6783.33</v>
      </c>
      <c r="U45" s="3">
        <v>0</v>
      </c>
      <c r="V45" s="7">
        <v>0</v>
      </c>
      <c r="W45" s="7">
        <v>0</v>
      </c>
      <c r="X45" s="3">
        <v>0</v>
      </c>
      <c r="Y45" s="7">
        <v>0</v>
      </c>
    </row>
    <row r="46" spans="1:25" x14ac:dyDescent="0.25">
      <c r="A46" t="s">
        <v>25</v>
      </c>
      <c r="B46" t="s">
        <v>26</v>
      </c>
      <c r="C46" t="str">
        <f t="shared" si="9"/>
        <v>10000</v>
      </c>
      <c r="D46" t="s">
        <v>27</v>
      </c>
      <c r="E46" t="str">
        <f>"0000037"</f>
        <v>0000037</v>
      </c>
      <c r="F46" t="str">
        <f t="shared" si="10"/>
        <v>210201</v>
      </c>
      <c r="G46" t="str">
        <f t="shared" si="11"/>
        <v>90000035</v>
      </c>
      <c r="H46" t="str">
        <f t="shared" si="12"/>
        <v>01</v>
      </c>
      <c r="I46" t="s">
        <v>29</v>
      </c>
      <c r="K46" t="str">
        <f t="shared" si="8"/>
        <v>07</v>
      </c>
      <c r="L46" s="3">
        <v>3391.67</v>
      </c>
      <c r="M46" s="5">
        <v>0</v>
      </c>
      <c r="N46" s="7">
        <v>3391.67</v>
      </c>
      <c r="O46" s="3">
        <v>0</v>
      </c>
      <c r="P46" s="7">
        <v>0</v>
      </c>
      <c r="Q46" s="7">
        <v>0</v>
      </c>
      <c r="R46" s="7">
        <v>0</v>
      </c>
      <c r="S46" s="7">
        <v>0</v>
      </c>
      <c r="T46" s="7">
        <v>3391.67</v>
      </c>
      <c r="U46" s="3">
        <v>0</v>
      </c>
      <c r="V46" s="7">
        <v>0</v>
      </c>
      <c r="W46" s="7">
        <v>0</v>
      </c>
      <c r="X46" s="3">
        <v>0</v>
      </c>
      <c r="Y46" s="7">
        <v>0</v>
      </c>
    </row>
    <row r="47" spans="1:25" x14ac:dyDescent="0.25">
      <c r="A47" t="s">
        <v>25</v>
      </c>
      <c r="B47" t="s">
        <v>26</v>
      </c>
      <c r="C47" t="str">
        <f t="shared" si="9"/>
        <v>10000</v>
      </c>
      <c r="D47" t="s">
        <v>27</v>
      </c>
      <c r="E47" t="str">
        <f>"0000039"</f>
        <v>0000039</v>
      </c>
      <c r="F47" t="str">
        <f t="shared" si="10"/>
        <v>210201</v>
      </c>
      <c r="G47" t="str">
        <f t="shared" si="11"/>
        <v>90000035</v>
      </c>
      <c r="H47" t="str">
        <f t="shared" si="12"/>
        <v>01</v>
      </c>
      <c r="I47" t="s">
        <v>32</v>
      </c>
      <c r="K47" t="str">
        <f t="shared" si="8"/>
        <v>07</v>
      </c>
      <c r="L47" s="3">
        <v>244200</v>
      </c>
      <c r="M47" s="5">
        <v>0</v>
      </c>
      <c r="N47" s="7">
        <v>244200</v>
      </c>
      <c r="O47" s="3">
        <v>0</v>
      </c>
      <c r="P47" s="7">
        <v>0</v>
      </c>
      <c r="Q47" s="7">
        <v>0</v>
      </c>
      <c r="R47" s="7">
        <v>0</v>
      </c>
      <c r="S47" s="7">
        <v>0</v>
      </c>
      <c r="T47" s="7">
        <v>244200</v>
      </c>
      <c r="U47" s="3">
        <v>0</v>
      </c>
      <c r="V47" s="7">
        <v>0</v>
      </c>
      <c r="W47" s="7">
        <v>0</v>
      </c>
      <c r="X47" s="3">
        <v>0</v>
      </c>
      <c r="Y47" s="7">
        <v>0</v>
      </c>
    </row>
    <row r="48" spans="1:25" x14ac:dyDescent="0.25">
      <c r="A48" t="s">
        <v>25</v>
      </c>
      <c r="B48" t="s">
        <v>26</v>
      </c>
      <c r="C48" t="str">
        <f t="shared" si="9"/>
        <v>10000</v>
      </c>
      <c r="D48" t="s">
        <v>27</v>
      </c>
      <c r="E48" t="str">
        <f>"0000040"</f>
        <v>0000040</v>
      </c>
      <c r="F48" t="str">
        <f t="shared" si="10"/>
        <v>210201</v>
      </c>
      <c r="G48" t="str">
        <f t="shared" si="11"/>
        <v>90000035</v>
      </c>
      <c r="H48" t="str">
        <f t="shared" si="12"/>
        <v>01</v>
      </c>
      <c r="I48" t="s">
        <v>29</v>
      </c>
      <c r="K48" t="str">
        <f t="shared" si="8"/>
        <v>07</v>
      </c>
      <c r="L48" s="3">
        <v>678.33</v>
      </c>
      <c r="M48" s="5">
        <v>0</v>
      </c>
      <c r="N48" s="7">
        <v>678.33</v>
      </c>
      <c r="O48" s="3">
        <v>0</v>
      </c>
      <c r="P48" s="7">
        <v>0</v>
      </c>
      <c r="Q48" s="7">
        <v>0</v>
      </c>
      <c r="R48" s="7">
        <v>0</v>
      </c>
      <c r="S48" s="7">
        <v>0</v>
      </c>
      <c r="T48" s="7">
        <v>678.33</v>
      </c>
      <c r="U48" s="3">
        <v>0</v>
      </c>
      <c r="V48" s="7">
        <v>0</v>
      </c>
      <c r="W48" s="7">
        <v>0</v>
      </c>
      <c r="X48" s="3">
        <v>0</v>
      </c>
      <c r="Y48" s="7">
        <v>0</v>
      </c>
    </row>
    <row r="49" spans="1:25" x14ac:dyDescent="0.25">
      <c r="A49" t="s">
        <v>25</v>
      </c>
      <c r="B49" t="s">
        <v>26</v>
      </c>
      <c r="C49" t="str">
        <f t="shared" si="9"/>
        <v>10000</v>
      </c>
      <c r="D49" t="s">
        <v>30</v>
      </c>
      <c r="E49" t="str">
        <f>"0000041"</f>
        <v>0000041</v>
      </c>
      <c r="F49" t="str">
        <f t="shared" si="10"/>
        <v>210201</v>
      </c>
      <c r="G49" t="str">
        <f t="shared" si="11"/>
        <v>90000035</v>
      </c>
      <c r="H49" t="str">
        <f t="shared" si="12"/>
        <v>01</v>
      </c>
      <c r="I49" t="s">
        <v>29</v>
      </c>
      <c r="K49" t="str">
        <f t="shared" si="8"/>
        <v>07</v>
      </c>
      <c r="L49" s="3">
        <v>1695.83</v>
      </c>
      <c r="M49" s="5">
        <v>0</v>
      </c>
      <c r="N49" s="7">
        <v>1695.83</v>
      </c>
      <c r="O49" s="3">
        <v>0</v>
      </c>
      <c r="P49" s="7">
        <v>0</v>
      </c>
      <c r="Q49" s="7">
        <v>0</v>
      </c>
      <c r="R49" s="7">
        <v>0</v>
      </c>
      <c r="S49" s="7">
        <v>0</v>
      </c>
      <c r="T49" s="7">
        <v>1695.83</v>
      </c>
      <c r="U49" s="3">
        <v>0</v>
      </c>
      <c r="V49" s="7">
        <v>0</v>
      </c>
      <c r="W49" s="7">
        <v>0</v>
      </c>
      <c r="X49" s="3">
        <v>0</v>
      </c>
      <c r="Y49" s="7">
        <v>0</v>
      </c>
    </row>
    <row r="50" spans="1:25" x14ac:dyDescent="0.25">
      <c r="A50" t="s">
        <v>25</v>
      </c>
      <c r="B50" t="s">
        <v>26</v>
      </c>
      <c r="C50" t="str">
        <f t="shared" si="9"/>
        <v>10000</v>
      </c>
      <c r="D50" t="s">
        <v>27</v>
      </c>
      <c r="E50" t="str">
        <f>"0000042"</f>
        <v>0000042</v>
      </c>
      <c r="F50" t="str">
        <f t="shared" si="10"/>
        <v>210201</v>
      </c>
      <c r="G50" t="str">
        <f t="shared" si="11"/>
        <v>90000035</v>
      </c>
      <c r="H50" t="str">
        <f t="shared" si="12"/>
        <v>01</v>
      </c>
      <c r="I50" t="s">
        <v>29</v>
      </c>
      <c r="K50" t="str">
        <f t="shared" si="8"/>
        <v>07</v>
      </c>
      <c r="L50" s="3">
        <v>1695.83</v>
      </c>
      <c r="M50" s="5">
        <v>0</v>
      </c>
      <c r="N50" s="7">
        <v>1695.83</v>
      </c>
      <c r="O50" s="3">
        <v>0</v>
      </c>
      <c r="P50" s="7">
        <v>0</v>
      </c>
      <c r="Q50" s="7">
        <v>0</v>
      </c>
      <c r="R50" s="7">
        <v>0</v>
      </c>
      <c r="S50" s="7">
        <v>0</v>
      </c>
      <c r="T50" s="7">
        <v>1695.83</v>
      </c>
      <c r="U50" s="3">
        <v>0</v>
      </c>
      <c r="V50" s="7">
        <v>0</v>
      </c>
      <c r="W50" s="7">
        <v>0</v>
      </c>
      <c r="X50" s="3">
        <v>0</v>
      </c>
      <c r="Y50" s="7">
        <v>0</v>
      </c>
    </row>
    <row r="51" spans="1:25" x14ac:dyDescent="0.25">
      <c r="A51" t="s">
        <v>25</v>
      </c>
      <c r="B51" t="s">
        <v>26</v>
      </c>
      <c r="C51" t="str">
        <f t="shared" si="9"/>
        <v>10000</v>
      </c>
      <c r="D51" t="s">
        <v>27</v>
      </c>
      <c r="E51" t="str">
        <f>"0000043"</f>
        <v>0000043</v>
      </c>
      <c r="F51" t="str">
        <f t="shared" si="10"/>
        <v>210201</v>
      </c>
      <c r="G51" t="str">
        <f t="shared" ref="G51:G63" si="13">"90000034"</f>
        <v>90000034</v>
      </c>
      <c r="H51" t="str">
        <f t="shared" si="12"/>
        <v>01</v>
      </c>
      <c r="I51" t="s">
        <v>29</v>
      </c>
      <c r="K51" t="str">
        <f t="shared" si="8"/>
        <v>07</v>
      </c>
      <c r="L51" s="3">
        <v>6783.33</v>
      </c>
      <c r="M51" s="5">
        <v>0</v>
      </c>
      <c r="N51" s="7">
        <v>6783.33</v>
      </c>
      <c r="O51" s="3">
        <v>0</v>
      </c>
      <c r="P51" s="7">
        <v>0</v>
      </c>
      <c r="Q51" s="7">
        <v>0</v>
      </c>
      <c r="R51" s="7">
        <v>0</v>
      </c>
      <c r="S51" s="7">
        <v>0</v>
      </c>
      <c r="T51" s="7">
        <v>6783.33</v>
      </c>
      <c r="U51" s="3">
        <v>0</v>
      </c>
      <c r="V51" s="7">
        <v>0</v>
      </c>
      <c r="W51" s="7">
        <v>0</v>
      </c>
      <c r="X51" s="3">
        <v>0</v>
      </c>
      <c r="Y51" s="7">
        <v>0</v>
      </c>
    </row>
    <row r="52" spans="1:25" x14ac:dyDescent="0.25">
      <c r="A52" t="s">
        <v>25</v>
      </c>
      <c r="B52" t="s">
        <v>26</v>
      </c>
      <c r="C52" t="str">
        <f t="shared" si="9"/>
        <v>10000</v>
      </c>
      <c r="D52" t="s">
        <v>27</v>
      </c>
      <c r="E52" t="str">
        <f>"0000044"</f>
        <v>0000044</v>
      </c>
      <c r="F52" t="str">
        <f t="shared" si="10"/>
        <v>210201</v>
      </c>
      <c r="G52" t="str">
        <f t="shared" si="13"/>
        <v>90000034</v>
      </c>
      <c r="H52" t="str">
        <f t="shared" si="12"/>
        <v>01</v>
      </c>
      <c r="I52" t="s">
        <v>29</v>
      </c>
      <c r="K52" t="str">
        <f t="shared" si="8"/>
        <v>07</v>
      </c>
      <c r="L52" s="3">
        <v>6783.33</v>
      </c>
      <c r="M52" s="5">
        <v>0</v>
      </c>
      <c r="N52" s="7">
        <v>6783.33</v>
      </c>
      <c r="O52" s="3">
        <v>0</v>
      </c>
      <c r="P52" s="7">
        <v>0</v>
      </c>
      <c r="Q52" s="7">
        <v>0</v>
      </c>
      <c r="R52" s="7">
        <v>0</v>
      </c>
      <c r="S52" s="7">
        <v>0</v>
      </c>
      <c r="T52" s="7">
        <v>6783.33</v>
      </c>
      <c r="U52" s="3">
        <v>0</v>
      </c>
      <c r="V52" s="7">
        <v>0</v>
      </c>
      <c r="W52" s="7">
        <v>0</v>
      </c>
      <c r="X52" s="3">
        <v>0</v>
      </c>
      <c r="Y52" s="7">
        <v>0</v>
      </c>
    </row>
    <row r="53" spans="1:25" x14ac:dyDescent="0.25">
      <c r="A53" t="s">
        <v>25</v>
      </c>
      <c r="B53" t="s">
        <v>26</v>
      </c>
      <c r="C53" t="str">
        <f t="shared" si="9"/>
        <v>10000</v>
      </c>
      <c r="D53" t="s">
        <v>27</v>
      </c>
      <c r="E53" t="str">
        <f>"0000045"</f>
        <v>0000045</v>
      </c>
      <c r="F53" t="str">
        <f t="shared" si="10"/>
        <v>210201</v>
      </c>
      <c r="G53" t="str">
        <f t="shared" si="13"/>
        <v>90000034</v>
      </c>
      <c r="H53" t="str">
        <f t="shared" si="12"/>
        <v>01</v>
      </c>
      <c r="I53" t="s">
        <v>28</v>
      </c>
      <c r="K53" t="str">
        <f t="shared" si="8"/>
        <v>07</v>
      </c>
      <c r="L53" s="3">
        <v>11725</v>
      </c>
      <c r="M53" s="5">
        <v>0</v>
      </c>
      <c r="N53" s="7">
        <v>11725</v>
      </c>
      <c r="O53" s="3">
        <v>0</v>
      </c>
      <c r="P53" s="7">
        <v>0</v>
      </c>
      <c r="Q53" s="7">
        <v>0</v>
      </c>
      <c r="R53" s="7">
        <v>0</v>
      </c>
      <c r="S53" s="7">
        <v>0</v>
      </c>
      <c r="T53" s="7">
        <v>11725</v>
      </c>
      <c r="U53" s="3">
        <v>0</v>
      </c>
      <c r="V53" s="7">
        <v>0</v>
      </c>
      <c r="W53" s="7">
        <v>0</v>
      </c>
      <c r="X53" s="3">
        <v>0</v>
      </c>
      <c r="Y53" s="7">
        <v>0</v>
      </c>
    </row>
    <row r="54" spans="1:25" x14ac:dyDescent="0.25">
      <c r="A54" t="s">
        <v>25</v>
      </c>
      <c r="B54" t="s">
        <v>26</v>
      </c>
      <c r="C54" t="str">
        <f t="shared" si="9"/>
        <v>10000</v>
      </c>
      <c r="D54" t="s">
        <v>27</v>
      </c>
      <c r="E54" t="str">
        <f>"0000047"</f>
        <v>0000047</v>
      </c>
      <c r="F54" t="str">
        <f t="shared" si="10"/>
        <v>210201</v>
      </c>
      <c r="G54" t="str">
        <f t="shared" si="13"/>
        <v>90000034</v>
      </c>
      <c r="H54" t="str">
        <f t="shared" si="12"/>
        <v>01</v>
      </c>
      <c r="I54" t="s">
        <v>29</v>
      </c>
      <c r="K54" t="str">
        <f t="shared" si="8"/>
        <v>07</v>
      </c>
      <c r="L54" s="3">
        <v>10175</v>
      </c>
      <c r="M54" s="5">
        <v>0</v>
      </c>
      <c r="N54" s="7">
        <v>10175</v>
      </c>
      <c r="O54" s="3">
        <v>0</v>
      </c>
      <c r="P54" s="7">
        <v>0</v>
      </c>
      <c r="Q54" s="7">
        <v>0</v>
      </c>
      <c r="R54" s="7">
        <v>0</v>
      </c>
      <c r="S54" s="7">
        <v>0</v>
      </c>
      <c r="T54" s="7">
        <v>10175</v>
      </c>
      <c r="U54" s="3">
        <v>0</v>
      </c>
      <c r="V54" s="7">
        <v>0</v>
      </c>
      <c r="W54" s="7">
        <v>0</v>
      </c>
      <c r="X54" s="3">
        <v>0</v>
      </c>
      <c r="Y54" s="7">
        <v>0</v>
      </c>
    </row>
    <row r="55" spans="1:25" x14ac:dyDescent="0.25">
      <c r="A55" t="s">
        <v>25</v>
      </c>
      <c r="B55" t="s">
        <v>26</v>
      </c>
      <c r="C55" t="str">
        <f t="shared" si="9"/>
        <v>10000</v>
      </c>
      <c r="D55" t="s">
        <v>27</v>
      </c>
      <c r="E55" t="str">
        <f>"0000048"</f>
        <v>0000048</v>
      </c>
      <c r="F55" t="str">
        <f t="shared" si="10"/>
        <v>210201</v>
      </c>
      <c r="G55" t="str">
        <f t="shared" si="13"/>
        <v>90000034</v>
      </c>
      <c r="H55" t="str">
        <f t="shared" si="12"/>
        <v>01</v>
      </c>
      <c r="I55" t="s">
        <v>29</v>
      </c>
      <c r="K55" t="str">
        <f t="shared" si="8"/>
        <v>07</v>
      </c>
      <c r="L55" s="3">
        <v>11870.83</v>
      </c>
      <c r="M55" s="5">
        <v>0</v>
      </c>
      <c r="N55" s="7">
        <v>11870.83</v>
      </c>
      <c r="O55" s="3">
        <v>0</v>
      </c>
      <c r="P55" s="7">
        <v>0</v>
      </c>
      <c r="Q55" s="7">
        <v>0</v>
      </c>
      <c r="R55" s="7">
        <v>0</v>
      </c>
      <c r="S55" s="7">
        <v>0</v>
      </c>
      <c r="T55" s="7">
        <v>11870.83</v>
      </c>
      <c r="U55" s="3">
        <v>0</v>
      </c>
      <c r="V55" s="7">
        <v>0</v>
      </c>
      <c r="W55" s="7">
        <v>0</v>
      </c>
      <c r="X55" s="3">
        <v>0</v>
      </c>
      <c r="Y55" s="7">
        <v>0</v>
      </c>
    </row>
    <row r="56" spans="1:25" x14ac:dyDescent="0.25">
      <c r="A56" t="s">
        <v>25</v>
      </c>
      <c r="B56" t="s">
        <v>26</v>
      </c>
      <c r="C56" t="str">
        <f t="shared" si="9"/>
        <v>10000</v>
      </c>
      <c r="D56" t="s">
        <v>27</v>
      </c>
      <c r="E56" t="str">
        <f>"0000052"</f>
        <v>0000052</v>
      </c>
      <c r="F56" t="str">
        <f t="shared" si="10"/>
        <v>210201</v>
      </c>
      <c r="G56" t="str">
        <f t="shared" si="13"/>
        <v>90000034</v>
      </c>
      <c r="H56" t="str">
        <f t="shared" si="12"/>
        <v>01</v>
      </c>
      <c r="I56" t="s">
        <v>29</v>
      </c>
      <c r="K56" t="str">
        <f t="shared" si="8"/>
        <v>07</v>
      </c>
      <c r="L56" s="3">
        <v>10175</v>
      </c>
      <c r="M56" s="5">
        <v>0</v>
      </c>
      <c r="N56" s="7">
        <v>10175</v>
      </c>
      <c r="O56" s="3">
        <v>0</v>
      </c>
      <c r="P56" s="7">
        <v>0</v>
      </c>
      <c r="Q56" s="7">
        <v>0</v>
      </c>
      <c r="R56" s="7">
        <v>0</v>
      </c>
      <c r="S56" s="7">
        <v>0</v>
      </c>
      <c r="T56" s="7">
        <v>10175</v>
      </c>
      <c r="U56" s="3">
        <v>0</v>
      </c>
      <c r="V56" s="7">
        <v>0</v>
      </c>
      <c r="W56" s="7">
        <v>0</v>
      </c>
      <c r="X56" s="3">
        <v>0</v>
      </c>
      <c r="Y56" s="7">
        <v>0</v>
      </c>
    </row>
    <row r="57" spans="1:25" x14ac:dyDescent="0.25">
      <c r="A57" t="s">
        <v>25</v>
      </c>
      <c r="B57" t="s">
        <v>26</v>
      </c>
      <c r="C57" t="str">
        <f t="shared" si="9"/>
        <v>10000</v>
      </c>
      <c r="D57" t="s">
        <v>27</v>
      </c>
      <c r="E57" t="str">
        <f>"0000055"</f>
        <v>0000055</v>
      </c>
      <c r="F57" t="str">
        <f t="shared" si="10"/>
        <v>210201</v>
      </c>
      <c r="G57" t="str">
        <f t="shared" si="13"/>
        <v>90000034</v>
      </c>
      <c r="H57" t="str">
        <f t="shared" si="12"/>
        <v>01</v>
      </c>
      <c r="I57" t="s">
        <v>29</v>
      </c>
      <c r="K57" t="str">
        <f t="shared" si="8"/>
        <v>07</v>
      </c>
      <c r="L57" s="3">
        <v>10175</v>
      </c>
      <c r="M57" s="5">
        <v>0</v>
      </c>
      <c r="N57" s="7">
        <v>10175</v>
      </c>
      <c r="O57" s="3">
        <v>0</v>
      </c>
      <c r="P57" s="7">
        <v>0</v>
      </c>
      <c r="Q57" s="7">
        <v>0</v>
      </c>
      <c r="R57" s="7">
        <v>0</v>
      </c>
      <c r="S57" s="7">
        <v>0</v>
      </c>
      <c r="T57" s="7">
        <v>10175</v>
      </c>
      <c r="U57" s="3">
        <v>0</v>
      </c>
      <c r="V57" s="7">
        <v>0</v>
      </c>
      <c r="W57" s="7">
        <v>0</v>
      </c>
      <c r="X57" s="3">
        <v>0</v>
      </c>
      <c r="Y57" s="7">
        <v>0</v>
      </c>
    </row>
    <row r="58" spans="1:25" x14ac:dyDescent="0.25">
      <c r="A58" t="s">
        <v>25</v>
      </c>
      <c r="B58" t="s">
        <v>26</v>
      </c>
      <c r="C58" t="str">
        <f t="shared" si="9"/>
        <v>10000</v>
      </c>
      <c r="D58" t="s">
        <v>27</v>
      </c>
      <c r="E58" t="str">
        <f>"0000058"</f>
        <v>0000058</v>
      </c>
      <c r="F58" t="str">
        <f t="shared" si="10"/>
        <v>210201</v>
      </c>
      <c r="G58" t="str">
        <f t="shared" si="13"/>
        <v>90000034</v>
      </c>
      <c r="H58" t="str">
        <f t="shared" si="12"/>
        <v>01</v>
      </c>
      <c r="I58" t="s">
        <v>29</v>
      </c>
      <c r="K58" t="str">
        <f t="shared" si="8"/>
        <v>07</v>
      </c>
      <c r="L58" s="3">
        <v>10175</v>
      </c>
      <c r="M58" s="5">
        <v>0</v>
      </c>
      <c r="N58" s="7">
        <v>10175</v>
      </c>
      <c r="O58" s="3">
        <v>0</v>
      </c>
      <c r="P58" s="7">
        <v>0</v>
      </c>
      <c r="Q58" s="7">
        <v>0</v>
      </c>
      <c r="R58" s="7">
        <v>0</v>
      </c>
      <c r="S58" s="7">
        <v>0</v>
      </c>
      <c r="T58" s="7">
        <v>10175</v>
      </c>
      <c r="U58" s="3">
        <v>0</v>
      </c>
      <c r="V58" s="7">
        <v>0</v>
      </c>
      <c r="W58" s="7">
        <v>0</v>
      </c>
      <c r="X58" s="3">
        <v>0</v>
      </c>
      <c r="Y58" s="7">
        <v>0</v>
      </c>
    </row>
    <row r="59" spans="1:25" x14ac:dyDescent="0.25">
      <c r="A59" t="s">
        <v>25</v>
      </c>
      <c r="B59" t="s">
        <v>26</v>
      </c>
      <c r="C59" t="str">
        <f t="shared" si="9"/>
        <v>10000</v>
      </c>
      <c r="D59" t="s">
        <v>27</v>
      </c>
      <c r="E59" t="str">
        <f>"0000059"</f>
        <v>0000059</v>
      </c>
      <c r="F59" t="str">
        <f t="shared" si="10"/>
        <v>210201</v>
      </c>
      <c r="G59" t="str">
        <f t="shared" si="13"/>
        <v>90000034</v>
      </c>
      <c r="H59" t="str">
        <f t="shared" si="12"/>
        <v>01</v>
      </c>
      <c r="I59" t="s">
        <v>29</v>
      </c>
      <c r="K59" t="str">
        <f t="shared" si="8"/>
        <v>07</v>
      </c>
      <c r="L59" s="3">
        <v>16958.330000000002</v>
      </c>
      <c r="M59" s="5">
        <v>0</v>
      </c>
      <c r="N59" s="7">
        <v>16958.330000000002</v>
      </c>
      <c r="O59" s="3">
        <v>0</v>
      </c>
      <c r="P59" s="7">
        <v>0</v>
      </c>
      <c r="Q59" s="7">
        <v>0</v>
      </c>
      <c r="R59" s="7">
        <v>0</v>
      </c>
      <c r="S59" s="7">
        <v>0</v>
      </c>
      <c r="T59" s="7">
        <v>16958.330000000002</v>
      </c>
      <c r="U59" s="3">
        <v>0</v>
      </c>
      <c r="V59" s="7">
        <v>0</v>
      </c>
      <c r="W59" s="7">
        <v>0</v>
      </c>
      <c r="X59" s="3">
        <v>0</v>
      </c>
      <c r="Y59" s="7">
        <v>0</v>
      </c>
    </row>
    <row r="60" spans="1:25" x14ac:dyDescent="0.25">
      <c r="A60" t="s">
        <v>25</v>
      </c>
      <c r="B60" t="s">
        <v>26</v>
      </c>
      <c r="C60" t="str">
        <f t="shared" si="9"/>
        <v>10000</v>
      </c>
      <c r="D60" t="s">
        <v>27</v>
      </c>
      <c r="E60" t="str">
        <f>"0000060"</f>
        <v>0000060</v>
      </c>
      <c r="F60" t="str">
        <f t="shared" si="10"/>
        <v>210201</v>
      </c>
      <c r="G60" t="str">
        <f t="shared" si="13"/>
        <v>90000034</v>
      </c>
      <c r="H60" t="str">
        <f t="shared" si="12"/>
        <v>01</v>
      </c>
      <c r="I60" t="s">
        <v>28</v>
      </c>
      <c r="K60" t="str">
        <f t="shared" si="8"/>
        <v>07</v>
      </c>
      <c r="L60" s="3">
        <v>33500</v>
      </c>
      <c r="M60" s="5">
        <v>0</v>
      </c>
      <c r="N60" s="7">
        <v>33500</v>
      </c>
      <c r="O60" s="3">
        <v>0</v>
      </c>
      <c r="P60" s="7">
        <v>0</v>
      </c>
      <c r="Q60" s="7">
        <v>0</v>
      </c>
      <c r="R60" s="7">
        <v>0</v>
      </c>
      <c r="S60" s="7">
        <v>0</v>
      </c>
      <c r="T60" s="7">
        <v>33500</v>
      </c>
      <c r="U60" s="3">
        <v>0</v>
      </c>
      <c r="V60" s="7">
        <v>0</v>
      </c>
      <c r="W60" s="7">
        <v>0</v>
      </c>
      <c r="X60" s="3">
        <v>0</v>
      </c>
      <c r="Y60" s="7">
        <v>0</v>
      </c>
    </row>
    <row r="61" spans="1:25" x14ac:dyDescent="0.25">
      <c r="A61" t="s">
        <v>25</v>
      </c>
      <c r="B61" t="s">
        <v>26</v>
      </c>
      <c r="C61" t="str">
        <f t="shared" si="9"/>
        <v>10000</v>
      </c>
      <c r="D61" t="s">
        <v>27</v>
      </c>
      <c r="E61" t="str">
        <f>"0000061"</f>
        <v>0000061</v>
      </c>
      <c r="F61" t="str">
        <f t="shared" si="10"/>
        <v>210201</v>
      </c>
      <c r="G61" t="str">
        <f t="shared" si="13"/>
        <v>90000034</v>
      </c>
      <c r="H61" t="str">
        <f t="shared" si="12"/>
        <v>01</v>
      </c>
      <c r="I61" t="s">
        <v>29</v>
      </c>
      <c r="K61" t="str">
        <f t="shared" si="8"/>
        <v>07</v>
      </c>
      <c r="L61" s="3">
        <v>15262.5</v>
      </c>
      <c r="M61" s="5">
        <v>0</v>
      </c>
      <c r="N61" s="7">
        <v>15262.5</v>
      </c>
      <c r="O61" s="3">
        <v>0</v>
      </c>
      <c r="P61" s="7">
        <v>0</v>
      </c>
      <c r="Q61" s="7">
        <v>0</v>
      </c>
      <c r="R61" s="7">
        <v>0</v>
      </c>
      <c r="S61" s="7">
        <v>0</v>
      </c>
      <c r="T61" s="7">
        <v>15262.5</v>
      </c>
      <c r="U61" s="3">
        <v>0</v>
      </c>
      <c r="V61" s="7">
        <v>0</v>
      </c>
      <c r="W61" s="7">
        <v>0</v>
      </c>
      <c r="X61" s="3">
        <v>0</v>
      </c>
      <c r="Y61" s="7">
        <v>0</v>
      </c>
    </row>
    <row r="62" spans="1:25" x14ac:dyDescent="0.25">
      <c r="A62" t="s">
        <v>25</v>
      </c>
      <c r="B62" t="s">
        <v>26</v>
      </c>
      <c r="C62" t="str">
        <f t="shared" si="9"/>
        <v>10000</v>
      </c>
      <c r="D62" t="s">
        <v>27</v>
      </c>
      <c r="E62" t="str">
        <f>"0000062"</f>
        <v>0000062</v>
      </c>
      <c r="F62" t="str">
        <f t="shared" si="10"/>
        <v>210201</v>
      </c>
      <c r="G62" t="str">
        <f t="shared" si="13"/>
        <v>90000034</v>
      </c>
      <c r="H62" t="str">
        <f t="shared" si="12"/>
        <v>01</v>
      </c>
      <c r="I62" t="s">
        <v>29</v>
      </c>
      <c r="K62" t="str">
        <f t="shared" si="8"/>
        <v>07</v>
      </c>
      <c r="L62" s="3">
        <v>15262.5</v>
      </c>
      <c r="M62" s="5">
        <v>0</v>
      </c>
      <c r="N62" s="7">
        <v>15262.5</v>
      </c>
      <c r="O62" s="3">
        <v>0</v>
      </c>
      <c r="P62" s="7">
        <v>0</v>
      </c>
      <c r="Q62" s="7">
        <v>0</v>
      </c>
      <c r="R62" s="7">
        <v>0</v>
      </c>
      <c r="S62" s="7">
        <v>0</v>
      </c>
      <c r="T62" s="7">
        <v>15262.5</v>
      </c>
      <c r="U62" s="3">
        <v>0</v>
      </c>
      <c r="V62" s="7">
        <v>0</v>
      </c>
      <c r="W62" s="7">
        <v>0</v>
      </c>
      <c r="X62" s="3">
        <v>0</v>
      </c>
      <c r="Y62" s="7">
        <v>0</v>
      </c>
    </row>
    <row r="63" spans="1:25" x14ac:dyDescent="0.25">
      <c r="A63" t="s">
        <v>25</v>
      </c>
      <c r="B63" t="s">
        <v>26</v>
      </c>
      <c r="C63" t="str">
        <f t="shared" si="9"/>
        <v>10000</v>
      </c>
      <c r="D63" t="s">
        <v>27</v>
      </c>
      <c r="E63" t="str">
        <f>"0000064"</f>
        <v>0000064</v>
      </c>
      <c r="F63" t="str">
        <f t="shared" si="10"/>
        <v>210201</v>
      </c>
      <c r="G63" t="str">
        <f t="shared" si="13"/>
        <v>90000034</v>
      </c>
      <c r="H63" t="str">
        <f t="shared" si="12"/>
        <v>01</v>
      </c>
      <c r="I63" t="s">
        <v>29</v>
      </c>
      <c r="K63" t="str">
        <f t="shared" si="8"/>
        <v>07</v>
      </c>
      <c r="L63" s="3">
        <v>8479.17</v>
      </c>
      <c r="M63" s="5">
        <v>0</v>
      </c>
      <c r="N63" s="7">
        <v>8479.17</v>
      </c>
      <c r="O63" s="3">
        <v>0</v>
      </c>
      <c r="P63" s="7">
        <v>0</v>
      </c>
      <c r="Q63" s="7">
        <v>0</v>
      </c>
      <c r="R63" s="7">
        <v>0</v>
      </c>
      <c r="S63" s="7">
        <v>0</v>
      </c>
      <c r="T63" s="7">
        <v>8479.17</v>
      </c>
      <c r="U63" s="3">
        <v>0</v>
      </c>
      <c r="V63" s="7">
        <v>0</v>
      </c>
      <c r="W63" s="7">
        <v>0</v>
      </c>
      <c r="X63" s="3">
        <v>0</v>
      </c>
      <c r="Y63" s="7">
        <v>0</v>
      </c>
    </row>
    <row r="64" spans="1:25" x14ac:dyDescent="0.25">
      <c r="A64" t="s">
        <v>25</v>
      </c>
      <c r="B64" t="s">
        <v>26</v>
      </c>
      <c r="C64" t="str">
        <f t="shared" si="9"/>
        <v>10000</v>
      </c>
      <c r="D64" t="str">
        <f>"5"</f>
        <v>5</v>
      </c>
      <c r="E64" t="str">
        <f>"0120802"</f>
        <v>0120802</v>
      </c>
      <c r="F64" t="str">
        <f>"211702"</f>
        <v>211702</v>
      </c>
      <c r="G64" t="str">
        <f>"90000035"</f>
        <v>90000035</v>
      </c>
      <c r="H64" t="str">
        <f t="shared" ref="H64:H73" si="14">"00"</f>
        <v>00</v>
      </c>
      <c r="I64" t="s">
        <v>29</v>
      </c>
      <c r="K64" t="str">
        <f t="shared" si="8"/>
        <v>07</v>
      </c>
      <c r="L64" s="3">
        <v>3391.67</v>
      </c>
      <c r="M64" s="5">
        <v>0</v>
      </c>
      <c r="N64" s="7">
        <v>3391.67</v>
      </c>
      <c r="O64" s="3">
        <v>0</v>
      </c>
      <c r="P64" s="7">
        <v>0</v>
      </c>
      <c r="Q64" s="7">
        <v>0</v>
      </c>
      <c r="R64" s="7">
        <v>0</v>
      </c>
      <c r="S64" s="7">
        <v>0</v>
      </c>
      <c r="T64" s="7">
        <v>3391.67</v>
      </c>
      <c r="U64" s="3">
        <v>0</v>
      </c>
      <c r="V64" s="7">
        <v>0</v>
      </c>
      <c r="W64" s="7">
        <v>0</v>
      </c>
      <c r="X64" s="3">
        <v>0</v>
      </c>
      <c r="Y64" s="7">
        <v>0</v>
      </c>
    </row>
    <row r="65" spans="1:25" x14ac:dyDescent="0.25">
      <c r="A65" t="s">
        <v>25</v>
      </c>
      <c r="B65" t="s">
        <v>26</v>
      </c>
      <c r="C65" t="str">
        <f t="shared" si="9"/>
        <v>10000</v>
      </c>
      <c r="D65" t="str">
        <f>"1"</f>
        <v>1</v>
      </c>
      <c r="E65" t="str">
        <f>"0230801"</f>
        <v>0230801</v>
      </c>
      <c r="F65" t="str">
        <f>"210202"</f>
        <v>210202</v>
      </c>
      <c r="G65" t="str">
        <f t="shared" ref="G65:G70" si="15">"90000033"</f>
        <v>90000033</v>
      </c>
      <c r="H65" t="str">
        <f t="shared" si="14"/>
        <v>00</v>
      </c>
      <c r="I65" t="s">
        <v>29</v>
      </c>
      <c r="K65" t="str">
        <f t="shared" si="8"/>
        <v>07</v>
      </c>
      <c r="L65" s="3">
        <v>50000</v>
      </c>
      <c r="M65" s="5">
        <v>0</v>
      </c>
      <c r="N65" s="7">
        <v>50000</v>
      </c>
      <c r="O65" s="3">
        <v>0</v>
      </c>
      <c r="P65" s="7">
        <v>0</v>
      </c>
      <c r="Q65" s="7">
        <v>0</v>
      </c>
      <c r="R65" s="7">
        <v>0</v>
      </c>
      <c r="S65" s="7">
        <v>0</v>
      </c>
      <c r="T65" s="7">
        <v>50000</v>
      </c>
      <c r="U65" s="3">
        <v>0</v>
      </c>
      <c r="V65" s="7">
        <v>0</v>
      </c>
      <c r="W65" s="7">
        <v>0</v>
      </c>
      <c r="X65" s="3">
        <v>0</v>
      </c>
      <c r="Y65" s="7">
        <v>0</v>
      </c>
    </row>
    <row r="66" spans="1:25" x14ac:dyDescent="0.25">
      <c r="A66" t="s">
        <v>25</v>
      </c>
      <c r="B66" t="s">
        <v>26</v>
      </c>
      <c r="C66" t="str">
        <f t="shared" si="9"/>
        <v>10000</v>
      </c>
      <c r="D66" t="str">
        <f>"5"</f>
        <v>5</v>
      </c>
      <c r="E66" t="str">
        <f>"1008111"</f>
        <v>1008111</v>
      </c>
      <c r="F66" t="str">
        <f>"210202"</f>
        <v>210202</v>
      </c>
      <c r="G66" t="str">
        <f t="shared" si="15"/>
        <v>90000033</v>
      </c>
      <c r="H66" t="str">
        <f t="shared" si="14"/>
        <v>00</v>
      </c>
      <c r="I66" t="s">
        <v>28</v>
      </c>
      <c r="K66" t="str">
        <f t="shared" ref="K66:K73" si="16">"07"</f>
        <v>07</v>
      </c>
      <c r="L66" s="3">
        <v>6030</v>
      </c>
      <c r="M66" s="5">
        <v>0</v>
      </c>
      <c r="N66" s="7">
        <v>6030</v>
      </c>
      <c r="O66" s="3">
        <v>0</v>
      </c>
      <c r="P66" s="7">
        <v>0</v>
      </c>
      <c r="Q66" s="7">
        <v>0</v>
      </c>
      <c r="R66" s="7">
        <v>0</v>
      </c>
      <c r="S66" s="7">
        <v>0</v>
      </c>
      <c r="T66" s="7">
        <v>6030</v>
      </c>
      <c r="U66" s="3">
        <v>0</v>
      </c>
      <c r="V66" s="7">
        <v>0</v>
      </c>
      <c r="W66" s="7">
        <v>0</v>
      </c>
      <c r="X66" s="3">
        <v>0</v>
      </c>
      <c r="Y66" s="7">
        <v>0</v>
      </c>
    </row>
    <row r="67" spans="1:25" x14ac:dyDescent="0.25">
      <c r="A67" t="s">
        <v>25</v>
      </c>
      <c r="B67" t="s">
        <v>26</v>
      </c>
      <c r="C67" t="str">
        <f t="shared" si="9"/>
        <v>10000</v>
      </c>
      <c r="D67" t="str">
        <f>"1"</f>
        <v>1</v>
      </c>
      <c r="E67" t="str">
        <f>"1608002"</f>
        <v>1608002</v>
      </c>
      <c r="F67" t="str">
        <f>"210202"</f>
        <v>210202</v>
      </c>
      <c r="G67" t="str">
        <f t="shared" si="15"/>
        <v>90000033</v>
      </c>
      <c r="H67" t="str">
        <f t="shared" si="14"/>
        <v>00</v>
      </c>
      <c r="I67" t="s">
        <v>28</v>
      </c>
      <c r="K67" t="str">
        <f t="shared" si="16"/>
        <v>07</v>
      </c>
      <c r="L67" s="3">
        <v>670</v>
      </c>
      <c r="M67" s="5">
        <v>0</v>
      </c>
      <c r="N67" s="7">
        <v>670</v>
      </c>
      <c r="O67" s="3">
        <v>0</v>
      </c>
      <c r="P67" s="7">
        <v>0</v>
      </c>
      <c r="Q67" s="7">
        <v>0</v>
      </c>
      <c r="R67" s="7">
        <v>0</v>
      </c>
      <c r="S67" s="7">
        <v>0</v>
      </c>
      <c r="T67" s="7">
        <v>670</v>
      </c>
      <c r="U67" s="3">
        <v>0</v>
      </c>
      <c r="V67" s="7">
        <v>0</v>
      </c>
      <c r="W67" s="7">
        <v>0</v>
      </c>
      <c r="X67" s="3">
        <v>0</v>
      </c>
      <c r="Y67" s="7">
        <v>0</v>
      </c>
    </row>
    <row r="68" spans="1:25" x14ac:dyDescent="0.25">
      <c r="A68" t="s">
        <v>25</v>
      </c>
      <c r="B68" t="s">
        <v>26</v>
      </c>
      <c r="C68" t="str">
        <f t="shared" si="9"/>
        <v>10000</v>
      </c>
      <c r="D68" t="str">
        <f>"5"</f>
        <v>5</v>
      </c>
      <c r="E68" t="str">
        <f>"1708001"</f>
        <v>1708001</v>
      </c>
      <c r="F68" t="str">
        <f>"210202"</f>
        <v>210202</v>
      </c>
      <c r="G68" t="str">
        <f t="shared" si="15"/>
        <v>90000033</v>
      </c>
      <c r="H68" t="str">
        <f t="shared" si="14"/>
        <v>00</v>
      </c>
      <c r="I68" t="s">
        <v>28</v>
      </c>
      <c r="K68" t="str">
        <f t="shared" si="16"/>
        <v>07</v>
      </c>
      <c r="L68" s="3">
        <v>6030</v>
      </c>
      <c r="M68" s="5">
        <v>0</v>
      </c>
      <c r="N68" s="7">
        <v>6030</v>
      </c>
      <c r="O68" s="3">
        <v>0</v>
      </c>
      <c r="P68" s="7">
        <v>0</v>
      </c>
      <c r="Q68" s="7">
        <v>0</v>
      </c>
      <c r="R68" s="7">
        <v>0</v>
      </c>
      <c r="S68" s="7">
        <v>0</v>
      </c>
      <c r="T68" s="7">
        <v>6030</v>
      </c>
      <c r="U68" s="3">
        <v>0</v>
      </c>
      <c r="V68" s="7">
        <v>0</v>
      </c>
      <c r="W68" s="7">
        <v>0</v>
      </c>
      <c r="X68" s="3">
        <v>0</v>
      </c>
      <c r="Y68" s="7">
        <v>0</v>
      </c>
    </row>
    <row r="69" spans="1:25" x14ac:dyDescent="0.25">
      <c r="A69" t="s">
        <v>25</v>
      </c>
      <c r="B69" t="s">
        <v>26</v>
      </c>
      <c r="C69" t="str">
        <f t="shared" si="9"/>
        <v>10000</v>
      </c>
      <c r="D69" t="str">
        <f>"5"</f>
        <v>5</v>
      </c>
      <c r="E69" t="str">
        <f>"1708002"</f>
        <v>1708002</v>
      </c>
      <c r="F69" t="str">
        <f>"210206"</f>
        <v>210206</v>
      </c>
      <c r="G69" t="str">
        <f t="shared" si="15"/>
        <v>90000033</v>
      </c>
      <c r="H69" t="str">
        <f t="shared" si="14"/>
        <v>00</v>
      </c>
      <c r="I69" t="s">
        <v>28</v>
      </c>
      <c r="K69" t="str">
        <f t="shared" si="16"/>
        <v>07</v>
      </c>
      <c r="L69" s="3">
        <v>670</v>
      </c>
      <c r="M69" s="5">
        <v>0</v>
      </c>
      <c r="N69" s="7">
        <v>670</v>
      </c>
      <c r="O69" s="3">
        <v>0</v>
      </c>
      <c r="P69" s="7">
        <v>0</v>
      </c>
      <c r="Q69" s="7">
        <v>0</v>
      </c>
      <c r="R69" s="7">
        <v>0</v>
      </c>
      <c r="S69" s="7">
        <v>0</v>
      </c>
      <c r="T69" s="7">
        <v>670</v>
      </c>
      <c r="U69" s="3">
        <v>0</v>
      </c>
      <c r="V69" s="7">
        <v>0</v>
      </c>
      <c r="W69" s="7">
        <v>0</v>
      </c>
      <c r="X69" s="3">
        <v>0</v>
      </c>
      <c r="Y69" s="7">
        <v>0</v>
      </c>
    </row>
    <row r="70" spans="1:25" x14ac:dyDescent="0.25">
      <c r="A70" t="s">
        <v>25</v>
      </c>
      <c r="B70" t="s">
        <v>26</v>
      </c>
      <c r="C70" t="str">
        <f t="shared" si="9"/>
        <v>10000</v>
      </c>
      <c r="D70" t="str">
        <f>"1"</f>
        <v>1</v>
      </c>
      <c r="E70" t="str">
        <f>"1808001"</f>
        <v>1808001</v>
      </c>
      <c r="F70" t="str">
        <f>"210202"</f>
        <v>210202</v>
      </c>
      <c r="G70" t="str">
        <f t="shared" si="15"/>
        <v>90000033</v>
      </c>
      <c r="H70" t="str">
        <f t="shared" si="14"/>
        <v>00</v>
      </c>
      <c r="I70" t="s">
        <v>28</v>
      </c>
      <c r="K70" t="str">
        <f t="shared" si="16"/>
        <v>07</v>
      </c>
      <c r="L70" s="3">
        <v>670</v>
      </c>
      <c r="M70" s="5">
        <v>0</v>
      </c>
      <c r="N70" s="7">
        <v>670</v>
      </c>
      <c r="O70" s="3">
        <v>0</v>
      </c>
      <c r="P70" s="7">
        <v>0</v>
      </c>
      <c r="Q70" s="7">
        <v>0</v>
      </c>
      <c r="R70" s="7">
        <v>0</v>
      </c>
      <c r="S70" s="7">
        <v>0</v>
      </c>
      <c r="T70" s="7">
        <v>670</v>
      </c>
      <c r="U70" s="3">
        <v>0</v>
      </c>
      <c r="V70" s="7">
        <v>0</v>
      </c>
      <c r="W70" s="7">
        <v>0</v>
      </c>
      <c r="X70" s="3">
        <v>0</v>
      </c>
      <c r="Y70" s="7">
        <v>0</v>
      </c>
    </row>
    <row r="71" spans="1:25" x14ac:dyDescent="0.25">
      <c r="A71" t="s">
        <v>25</v>
      </c>
      <c r="B71" t="s">
        <v>26</v>
      </c>
      <c r="C71" t="str">
        <f t="shared" si="9"/>
        <v>10000</v>
      </c>
      <c r="D71" t="s">
        <v>27</v>
      </c>
      <c r="E71" t="str">
        <f>"2011081104"</f>
        <v>2011081104</v>
      </c>
      <c r="F71" t="str">
        <f>"211702"</f>
        <v>211702</v>
      </c>
      <c r="G71" t="str">
        <f>"90000035"</f>
        <v>90000035</v>
      </c>
      <c r="H71" t="str">
        <f t="shared" si="14"/>
        <v>00</v>
      </c>
      <c r="I71" t="s">
        <v>29</v>
      </c>
      <c r="K71" t="str">
        <f t="shared" si="16"/>
        <v>07</v>
      </c>
      <c r="L71" s="3">
        <v>1695.83</v>
      </c>
      <c r="M71" s="5">
        <v>0</v>
      </c>
      <c r="N71" s="7">
        <v>1695.83</v>
      </c>
      <c r="O71" s="3">
        <v>0</v>
      </c>
      <c r="P71" s="7">
        <v>0</v>
      </c>
      <c r="Q71" s="7">
        <v>0</v>
      </c>
      <c r="R71" s="7">
        <v>0</v>
      </c>
      <c r="S71" s="7">
        <v>0</v>
      </c>
      <c r="T71" s="7">
        <v>1695.83</v>
      </c>
      <c r="U71" s="3">
        <v>0</v>
      </c>
      <c r="V71" s="7">
        <v>0</v>
      </c>
      <c r="W71" s="7">
        <v>0</v>
      </c>
      <c r="X71" s="3">
        <v>0</v>
      </c>
      <c r="Y71" s="7">
        <v>0</v>
      </c>
    </row>
    <row r="72" spans="1:25" x14ac:dyDescent="0.25">
      <c r="A72" t="s">
        <v>25</v>
      </c>
      <c r="B72" t="s">
        <v>26</v>
      </c>
      <c r="C72" t="str">
        <f t="shared" si="9"/>
        <v>10000</v>
      </c>
      <c r="D72" t="s">
        <v>27</v>
      </c>
      <c r="E72" t="str">
        <f>"2011081105"</f>
        <v>2011081105</v>
      </c>
      <c r="F72" t="str">
        <f>"211702"</f>
        <v>211702</v>
      </c>
      <c r="G72" t="str">
        <f>"90000035"</f>
        <v>90000035</v>
      </c>
      <c r="H72" t="str">
        <f t="shared" si="14"/>
        <v>00</v>
      </c>
      <c r="I72" t="s">
        <v>29</v>
      </c>
      <c r="K72" t="str">
        <f t="shared" si="16"/>
        <v>07</v>
      </c>
      <c r="L72" s="3">
        <v>2713.33</v>
      </c>
      <c r="M72" s="5">
        <v>0</v>
      </c>
      <c r="N72" s="7">
        <v>2713.33</v>
      </c>
      <c r="O72" s="3">
        <v>0</v>
      </c>
      <c r="P72" s="7">
        <v>0</v>
      </c>
      <c r="Q72" s="7">
        <v>0</v>
      </c>
      <c r="R72" s="7">
        <v>0</v>
      </c>
      <c r="S72" s="7">
        <v>0</v>
      </c>
      <c r="T72" s="7">
        <v>2713.33</v>
      </c>
      <c r="U72" s="3">
        <v>0</v>
      </c>
      <c r="V72" s="7">
        <v>0</v>
      </c>
      <c r="W72" s="7">
        <v>0</v>
      </c>
      <c r="X72" s="3">
        <v>0</v>
      </c>
      <c r="Y72" s="7">
        <v>0</v>
      </c>
    </row>
    <row r="73" spans="1:25" x14ac:dyDescent="0.25">
      <c r="A73" t="s">
        <v>25</v>
      </c>
      <c r="B73" t="s">
        <v>26</v>
      </c>
      <c r="C73" t="str">
        <f t="shared" si="9"/>
        <v>10000</v>
      </c>
      <c r="D73" t="s">
        <v>27</v>
      </c>
      <c r="E73" t="str">
        <f>"2011081106"</f>
        <v>2011081106</v>
      </c>
      <c r="F73" t="str">
        <f>"211702"</f>
        <v>211702</v>
      </c>
      <c r="G73" t="str">
        <f>"90000035"</f>
        <v>90000035</v>
      </c>
      <c r="H73" t="str">
        <f t="shared" si="14"/>
        <v>00</v>
      </c>
      <c r="I73" t="s">
        <v>29</v>
      </c>
      <c r="K73" t="str">
        <f t="shared" si="16"/>
        <v>07</v>
      </c>
      <c r="L73" s="3">
        <v>5765.83</v>
      </c>
      <c r="M73" s="5">
        <v>0</v>
      </c>
      <c r="N73" s="7">
        <v>5765.83</v>
      </c>
      <c r="O73" s="3">
        <v>0</v>
      </c>
      <c r="P73" s="7">
        <v>0</v>
      </c>
      <c r="Q73" s="7">
        <v>0</v>
      </c>
      <c r="R73" s="7">
        <v>0</v>
      </c>
      <c r="S73" s="7">
        <v>0</v>
      </c>
      <c r="T73" s="7">
        <v>5765.83</v>
      </c>
      <c r="U73" s="3">
        <v>0</v>
      </c>
      <c r="V73" s="7">
        <v>0</v>
      </c>
      <c r="W73" s="7">
        <v>0</v>
      </c>
      <c r="X73" s="3">
        <v>0</v>
      </c>
      <c r="Y73" s="7">
        <v>0</v>
      </c>
    </row>
    <row r="74" spans="1:25" x14ac:dyDescent="0.25">
      <c r="A74" t="s">
        <v>25</v>
      </c>
      <c r="B74" t="s">
        <v>26</v>
      </c>
      <c r="C74" t="str">
        <f t="shared" ref="C74:C105" si="17">"1"</f>
        <v>1</v>
      </c>
      <c r="D74" t="s">
        <v>33</v>
      </c>
      <c r="E74" t="str">
        <f>"0000005"</f>
        <v>0000005</v>
      </c>
      <c r="F74" t="str">
        <f>"11111"</f>
        <v>11111</v>
      </c>
      <c r="G74" t="str">
        <f>"1"</f>
        <v>1</v>
      </c>
      <c r="H74" t="str">
        <f>"55"</f>
        <v>55</v>
      </c>
      <c r="I74" t="s">
        <v>34</v>
      </c>
      <c r="J74" t="str">
        <f t="shared" ref="J74:J105" si="18">"1101"</f>
        <v>1101</v>
      </c>
      <c r="K74" t="str">
        <f t="shared" ref="K74:K84" si="19">"06"</f>
        <v>06</v>
      </c>
      <c r="L74" s="3">
        <v>1.05</v>
      </c>
      <c r="M74" s="5">
        <v>1</v>
      </c>
      <c r="N74" s="7">
        <v>1</v>
      </c>
      <c r="O74" s="3">
        <v>0</v>
      </c>
      <c r="P74" s="7">
        <v>0.02</v>
      </c>
      <c r="Q74" s="7">
        <v>0</v>
      </c>
      <c r="R74" s="7">
        <v>0</v>
      </c>
      <c r="S74" s="7">
        <v>0</v>
      </c>
      <c r="T74" s="7">
        <v>1</v>
      </c>
      <c r="U74" s="3">
        <v>0</v>
      </c>
      <c r="V74" s="7">
        <v>0.08</v>
      </c>
      <c r="W74" s="7">
        <v>0</v>
      </c>
      <c r="X74" s="3">
        <v>0</v>
      </c>
      <c r="Y74" s="7">
        <v>0</v>
      </c>
    </row>
    <row r="75" spans="1:25" x14ac:dyDescent="0.25">
      <c r="A75" t="s">
        <v>25</v>
      </c>
      <c r="B75" t="s">
        <v>26</v>
      </c>
      <c r="C75" t="str">
        <f t="shared" si="17"/>
        <v>1</v>
      </c>
      <c r="D75" t="s">
        <v>33</v>
      </c>
      <c r="E75" t="str">
        <f>"0000547"</f>
        <v>0000547</v>
      </c>
      <c r="F75" t="s">
        <v>35</v>
      </c>
      <c r="G75" t="str">
        <f>"1"</f>
        <v>1</v>
      </c>
      <c r="H75" t="str">
        <f t="shared" ref="H75:H106" si="20">"01"</f>
        <v>01</v>
      </c>
      <c r="I75" t="str">
        <f>"1122"</f>
        <v>1122</v>
      </c>
      <c r="J75" t="str">
        <f t="shared" si="18"/>
        <v>1101</v>
      </c>
      <c r="K75" t="str">
        <f t="shared" si="19"/>
        <v>06</v>
      </c>
      <c r="L75" s="3">
        <v>1221</v>
      </c>
      <c r="M75" s="5">
        <v>1221</v>
      </c>
      <c r="N75" s="7">
        <v>1221</v>
      </c>
      <c r="O75" s="3">
        <v>0</v>
      </c>
      <c r="P75" s="7">
        <v>20.149999999999999</v>
      </c>
      <c r="Q75" s="7">
        <v>0</v>
      </c>
      <c r="R75" s="7">
        <v>0</v>
      </c>
      <c r="S75" s="7">
        <v>0</v>
      </c>
      <c r="T75" s="7">
        <v>1221</v>
      </c>
      <c r="U75" s="3">
        <v>0</v>
      </c>
      <c r="V75" s="7">
        <v>77.53</v>
      </c>
      <c r="W75" s="7">
        <v>0</v>
      </c>
      <c r="X75" s="3">
        <v>0</v>
      </c>
      <c r="Y75" s="7">
        <v>0</v>
      </c>
    </row>
    <row r="76" spans="1:25" x14ac:dyDescent="0.25">
      <c r="A76" t="s">
        <v>25</v>
      </c>
      <c r="B76" t="s">
        <v>26</v>
      </c>
      <c r="C76" t="str">
        <f t="shared" si="17"/>
        <v>1</v>
      </c>
      <c r="D76" t="str">
        <f>"1"</f>
        <v>1</v>
      </c>
      <c r="E76" t="str">
        <f>"0001108"</f>
        <v>0001108</v>
      </c>
      <c r="F76" t="s">
        <v>36</v>
      </c>
      <c r="G76" t="str">
        <f>"12704"</f>
        <v>12704</v>
      </c>
      <c r="H76" t="str">
        <f t="shared" si="20"/>
        <v>01</v>
      </c>
      <c r="I76" t="s">
        <v>37</v>
      </c>
      <c r="J76" t="str">
        <f t="shared" si="18"/>
        <v>1101</v>
      </c>
      <c r="K76" t="str">
        <f t="shared" si="19"/>
        <v>06</v>
      </c>
      <c r="L76" s="3">
        <v>10000</v>
      </c>
      <c r="M76" s="5">
        <v>10000</v>
      </c>
      <c r="N76" s="7">
        <v>10000</v>
      </c>
      <c r="O76" s="3">
        <v>0</v>
      </c>
      <c r="P76" s="7">
        <v>165</v>
      </c>
      <c r="Q76" s="7">
        <v>0</v>
      </c>
      <c r="R76" s="7">
        <v>0</v>
      </c>
      <c r="S76" s="7">
        <v>0</v>
      </c>
      <c r="T76" s="7">
        <v>10000</v>
      </c>
      <c r="U76" s="3">
        <v>0</v>
      </c>
      <c r="V76" s="7">
        <v>760</v>
      </c>
      <c r="W76" s="7">
        <v>0</v>
      </c>
      <c r="X76" s="3">
        <v>0</v>
      </c>
      <c r="Y76" s="7">
        <v>0</v>
      </c>
    </row>
    <row r="77" spans="1:25" x14ac:dyDescent="0.25">
      <c r="A77" t="s">
        <v>25</v>
      </c>
      <c r="B77" t="s">
        <v>26</v>
      </c>
      <c r="C77" t="str">
        <f t="shared" si="17"/>
        <v>1</v>
      </c>
      <c r="D77" t="str">
        <f>"1"</f>
        <v>1</v>
      </c>
      <c r="E77" t="str">
        <f>"0001208"</f>
        <v>0001208</v>
      </c>
      <c r="F77" t="s">
        <v>38</v>
      </c>
      <c r="G77" t="str">
        <f>"12704"</f>
        <v>12704</v>
      </c>
      <c r="H77" t="str">
        <f t="shared" si="20"/>
        <v>01</v>
      </c>
      <c r="I77" t="s">
        <v>34</v>
      </c>
      <c r="J77" t="str">
        <f t="shared" si="18"/>
        <v>1101</v>
      </c>
      <c r="K77" t="str">
        <f t="shared" si="19"/>
        <v>06</v>
      </c>
      <c r="L77" s="3">
        <v>100</v>
      </c>
      <c r="M77" s="5">
        <v>100</v>
      </c>
      <c r="N77" s="7">
        <v>100</v>
      </c>
      <c r="O77" s="3">
        <v>0</v>
      </c>
      <c r="P77" s="7">
        <v>1.65</v>
      </c>
      <c r="Q77" s="7">
        <v>0</v>
      </c>
      <c r="R77" s="7">
        <v>0</v>
      </c>
      <c r="S77" s="7">
        <v>0</v>
      </c>
      <c r="T77" s="7">
        <v>100</v>
      </c>
      <c r="U77" s="3">
        <v>0</v>
      </c>
      <c r="V77" s="7">
        <v>7.6</v>
      </c>
      <c r="W77" s="7">
        <v>0</v>
      </c>
      <c r="X77" s="3">
        <v>0</v>
      </c>
      <c r="Y77" s="7">
        <v>0</v>
      </c>
    </row>
    <row r="78" spans="1:25" x14ac:dyDescent="0.25">
      <c r="A78" t="s">
        <v>25</v>
      </c>
      <c r="B78" t="s">
        <v>26</v>
      </c>
      <c r="C78" t="str">
        <f t="shared" si="17"/>
        <v>1</v>
      </c>
      <c r="D78" t="str">
        <f>"1"</f>
        <v>1</v>
      </c>
      <c r="E78" t="str">
        <f>"0001295"</f>
        <v>0001295</v>
      </c>
      <c r="F78" t="s">
        <v>38</v>
      </c>
      <c r="G78" t="str">
        <f>"12704"</f>
        <v>12704</v>
      </c>
      <c r="H78" t="str">
        <f t="shared" si="20"/>
        <v>01</v>
      </c>
      <c r="I78" t="s">
        <v>39</v>
      </c>
      <c r="J78" t="str">
        <f t="shared" si="18"/>
        <v>1101</v>
      </c>
      <c r="K78" t="str">
        <f t="shared" si="19"/>
        <v>06</v>
      </c>
      <c r="L78" s="3">
        <v>78</v>
      </c>
      <c r="M78" s="5">
        <v>78</v>
      </c>
      <c r="N78" s="7">
        <v>78</v>
      </c>
      <c r="O78" s="3">
        <v>0</v>
      </c>
      <c r="P78" s="7">
        <v>1.29</v>
      </c>
      <c r="Q78" s="7">
        <v>0</v>
      </c>
      <c r="R78" s="7">
        <v>0</v>
      </c>
      <c r="S78" s="7">
        <v>0</v>
      </c>
      <c r="T78" s="7">
        <v>78</v>
      </c>
      <c r="U78" s="3">
        <v>0</v>
      </c>
      <c r="V78" s="7">
        <v>5.93</v>
      </c>
      <c r="W78" s="7">
        <v>0</v>
      </c>
      <c r="X78" s="3">
        <v>0</v>
      </c>
      <c r="Y78" s="7">
        <v>0</v>
      </c>
    </row>
    <row r="79" spans="1:25" x14ac:dyDescent="0.25">
      <c r="A79" t="s">
        <v>25</v>
      </c>
      <c r="B79" t="s">
        <v>26</v>
      </c>
      <c r="C79" t="str">
        <f t="shared" si="17"/>
        <v>1</v>
      </c>
      <c r="D79" t="str">
        <f>"1"</f>
        <v>1</v>
      </c>
      <c r="E79" t="str">
        <f>"0001295"</f>
        <v>0001295</v>
      </c>
      <c r="F79" t="s">
        <v>38</v>
      </c>
      <c r="G79" t="str">
        <f>"12704"</f>
        <v>12704</v>
      </c>
      <c r="H79" t="str">
        <f t="shared" si="20"/>
        <v>01</v>
      </c>
      <c r="I79" t="s">
        <v>34</v>
      </c>
      <c r="J79" t="str">
        <f t="shared" si="18"/>
        <v>1101</v>
      </c>
      <c r="K79" t="str">
        <f t="shared" si="19"/>
        <v>06</v>
      </c>
      <c r="L79" s="3">
        <v>55</v>
      </c>
      <c r="M79" s="5">
        <v>55</v>
      </c>
      <c r="N79" s="7">
        <v>55</v>
      </c>
      <c r="O79" s="3">
        <v>0</v>
      </c>
      <c r="P79" s="7">
        <v>0.91</v>
      </c>
      <c r="Q79" s="7">
        <v>0</v>
      </c>
      <c r="R79" s="7">
        <v>0</v>
      </c>
      <c r="S79" s="7">
        <v>0</v>
      </c>
      <c r="T79" s="7">
        <v>55</v>
      </c>
      <c r="U79" s="3">
        <v>0</v>
      </c>
      <c r="V79" s="7">
        <v>4.18</v>
      </c>
      <c r="W79" s="7">
        <v>0</v>
      </c>
      <c r="X79" s="3">
        <v>0</v>
      </c>
      <c r="Y79" s="7">
        <v>0</v>
      </c>
    </row>
    <row r="80" spans="1:25" x14ac:dyDescent="0.25">
      <c r="A80" t="s">
        <v>25</v>
      </c>
      <c r="B80" t="s">
        <v>26</v>
      </c>
      <c r="C80" t="str">
        <f t="shared" si="17"/>
        <v>1</v>
      </c>
      <c r="D80" t="s">
        <v>33</v>
      </c>
      <c r="E80" t="str">
        <f>"0030087"</f>
        <v>0030087</v>
      </c>
      <c r="F80" t="s">
        <v>38</v>
      </c>
      <c r="G80" t="str">
        <f>"1"</f>
        <v>1</v>
      </c>
      <c r="H80" t="str">
        <f t="shared" si="20"/>
        <v>01</v>
      </c>
      <c r="I80" t="s">
        <v>34</v>
      </c>
      <c r="J80" t="str">
        <f t="shared" si="18"/>
        <v>1101</v>
      </c>
      <c r="K80" t="str">
        <f t="shared" si="19"/>
        <v>06</v>
      </c>
      <c r="L80" s="3">
        <v>1</v>
      </c>
      <c r="M80" s="5">
        <v>1</v>
      </c>
      <c r="N80" s="7">
        <v>1</v>
      </c>
      <c r="O80" s="3">
        <v>0</v>
      </c>
      <c r="P80" s="7">
        <v>0.02</v>
      </c>
      <c r="Q80" s="7">
        <v>0</v>
      </c>
      <c r="R80" s="7">
        <v>0</v>
      </c>
      <c r="S80" s="7">
        <v>0</v>
      </c>
      <c r="T80" s="7">
        <v>1</v>
      </c>
      <c r="U80" s="3">
        <v>0</v>
      </c>
      <c r="V80" s="7">
        <v>0.08</v>
      </c>
      <c r="W80" s="7">
        <v>0</v>
      </c>
      <c r="X80" s="3">
        <v>0</v>
      </c>
      <c r="Y80" s="7">
        <v>0</v>
      </c>
    </row>
    <row r="81" spans="1:25" x14ac:dyDescent="0.25">
      <c r="A81" t="s">
        <v>25</v>
      </c>
      <c r="B81" t="s">
        <v>26</v>
      </c>
      <c r="C81" t="str">
        <f t="shared" si="17"/>
        <v>1</v>
      </c>
      <c r="D81" t="str">
        <f t="shared" ref="D81:D112" si="21">"1"</f>
        <v>1</v>
      </c>
      <c r="E81" t="str">
        <f>"0001296"</f>
        <v>0001296</v>
      </c>
      <c r="F81" t="s">
        <v>38</v>
      </c>
      <c r="G81" t="str">
        <f t="shared" ref="G81:G112" si="22">"12704"</f>
        <v>12704</v>
      </c>
      <c r="H81" t="str">
        <f t="shared" si="20"/>
        <v>01</v>
      </c>
      <c r="I81" t="s">
        <v>39</v>
      </c>
      <c r="J81" t="str">
        <f t="shared" si="18"/>
        <v>1101</v>
      </c>
      <c r="K81" t="str">
        <f t="shared" si="19"/>
        <v>06</v>
      </c>
      <c r="L81" s="3">
        <v>60</v>
      </c>
      <c r="M81" s="5">
        <v>60</v>
      </c>
      <c r="N81" s="7">
        <v>60</v>
      </c>
      <c r="O81" s="3">
        <v>0</v>
      </c>
      <c r="P81" s="7">
        <v>0.99</v>
      </c>
      <c r="Q81" s="7">
        <v>0</v>
      </c>
      <c r="R81" s="7">
        <v>0</v>
      </c>
      <c r="S81" s="7">
        <v>0</v>
      </c>
      <c r="T81" s="7">
        <v>60</v>
      </c>
      <c r="U81" s="3">
        <v>0</v>
      </c>
      <c r="V81" s="7">
        <v>4.5599999999999996</v>
      </c>
      <c r="W81" s="7">
        <v>0</v>
      </c>
      <c r="X81" s="3">
        <v>0</v>
      </c>
      <c r="Y81" s="7">
        <v>0</v>
      </c>
    </row>
    <row r="82" spans="1:25" x14ac:dyDescent="0.25">
      <c r="A82" t="s">
        <v>25</v>
      </c>
      <c r="B82" t="s">
        <v>26</v>
      </c>
      <c r="C82" t="str">
        <f t="shared" si="17"/>
        <v>1</v>
      </c>
      <c r="D82" t="str">
        <f t="shared" si="21"/>
        <v>1</v>
      </c>
      <c r="E82" t="str">
        <f>"0001296"</f>
        <v>0001296</v>
      </c>
      <c r="F82" t="s">
        <v>38</v>
      </c>
      <c r="G82" t="str">
        <f t="shared" si="22"/>
        <v>12704</v>
      </c>
      <c r="H82" t="str">
        <f t="shared" si="20"/>
        <v>01</v>
      </c>
      <c r="I82" t="s">
        <v>34</v>
      </c>
      <c r="J82" t="str">
        <f t="shared" si="18"/>
        <v>1101</v>
      </c>
      <c r="K82" t="str">
        <f t="shared" si="19"/>
        <v>06</v>
      </c>
      <c r="L82" s="3">
        <v>40</v>
      </c>
      <c r="M82" s="5">
        <v>40</v>
      </c>
      <c r="N82" s="7">
        <v>40</v>
      </c>
      <c r="O82" s="3">
        <v>0</v>
      </c>
      <c r="P82" s="7">
        <v>0.66</v>
      </c>
      <c r="Q82" s="7">
        <v>0</v>
      </c>
      <c r="R82" s="7">
        <v>0</v>
      </c>
      <c r="S82" s="7">
        <v>0</v>
      </c>
      <c r="T82" s="7">
        <v>40</v>
      </c>
      <c r="U82" s="3">
        <v>0</v>
      </c>
      <c r="V82" s="7">
        <v>3.04</v>
      </c>
      <c r="W82" s="7">
        <v>0</v>
      </c>
      <c r="X82" s="3">
        <v>0</v>
      </c>
      <c r="Y82" s="7">
        <v>0</v>
      </c>
    </row>
    <row r="83" spans="1:25" x14ac:dyDescent="0.25">
      <c r="A83" t="s">
        <v>25</v>
      </c>
      <c r="B83" t="s">
        <v>26</v>
      </c>
      <c r="C83" t="str">
        <f t="shared" si="17"/>
        <v>1</v>
      </c>
      <c r="D83" t="str">
        <f t="shared" si="21"/>
        <v>1</v>
      </c>
      <c r="E83" t="str">
        <f>"0001302"</f>
        <v>0001302</v>
      </c>
      <c r="F83" t="s">
        <v>38</v>
      </c>
      <c r="G83" t="str">
        <f t="shared" si="22"/>
        <v>12704</v>
      </c>
      <c r="H83" t="str">
        <f t="shared" si="20"/>
        <v>01</v>
      </c>
      <c r="I83" t="s">
        <v>34</v>
      </c>
      <c r="J83" t="str">
        <f t="shared" si="18"/>
        <v>1101</v>
      </c>
      <c r="K83" t="str">
        <f t="shared" si="19"/>
        <v>06</v>
      </c>
      <c r="L83" s="3">
        <v>121</v>
      </c>
      <c r="M83" s="5">
        <v>121</v>
      </c>
      <c r="N83" s="7">
        <v>121</v>
      </c>
      <c r="O83" s="3">
        <v>0</v>
      </c>
      <c r="P83" s="7">
        <v>2</v>
      </c>
      <c r="Q83" s="7">
        <v>0</v>
      </c>
      <c r="R83" s="7">
        <v>0</v>
      </c>
      <c r="S83" s="7">
        <v>0</v>
      </c>
      <c r="T83" s="7">
        <v>121</v>
      </c>
      <c r="U83" s="3">
        <v>0</v>
      </c>
      <c r="V83" s="7">
        <v>9.1999999999999993</v>
      </c>
      <c r="W83" s="7">
        <v>0</v>
      </c>
      <c r="X83" s="3">
        <v>0</v>
      </c>
      <c r="Y83" s="7">
        <v>0</v>
      </c>
    </row>
    <row r="84" spans="1:25" x14ac:dyDescent="0.25">
      <c r="A84" t="s">
        <v>25</v>
      </c>
      <c r="B84" t="s">
        <v>26</v>
      </c>
      <c r="C84" t="str">
        <f t="shared" si="17"/>
        <v>1</v>
      </c>
      <c r="D84" t="str">
        <f t="shared" si="21"/>
        <v>1</v>
      </c>
      <c r="E84" t="str">
        <f>"0001305"</f>
        <v>0001305</v>
      </c>
      <c r="F84" t="s">
        <v>38</v>
      </c>
      <c r="G84" t="str">
        <f t="shared" si="22"/>
        <v>12704</v>
      </c>
      <c r="H84" t="str">
        <f t="shared" si="20"/>
        <v>01</v>
      </c>
      <c r="I84" t="s">
        <v>34</v>
      </c>
      <c r="J84" t="str">
        <f t="shared" si="18"/>
        <v>1101</v>
      </c>
      <c r="K84" t="str">
        <f t="shared" si="19"/>
        <v>06</v>
      </c>
      <c r="L84" s="3">
        <v>175</v>
      </c>
      <c r="M84" s="5">
        <v>175</v>
      </c>
      <c r="N84" s="7">
        <v>175</v>
      </c>
      <c r="O84" s="3">
        <v>0</v>
      </c>
      <c r="P84" s="7">
        <v>2.89</v>
      </c>
      <c r="Q84" s="7">
        <v>0</v>
      </c>
      <c r="R84" s="7">
        <v>0</v>
      </c>
      <c r="S84" s="7">
        <v>0</v>
      </c>
      <c r="T84" s="7">
        <v>175</v>
      </c>
      <c r="U84" s="3">
        <v>0</v>
      </c>
      <c r="V84" s="7">
        <v>13.3</v>
      </c>
      <c r="W84" s="7">
        <v>0</v>
      </c>
      <c r="X84" s="3">
        <v>0</v>
      </c>
      <c r="Y84" s="7">
        <v>0</v>
      </c>
    </row>
    <row r="85" spans="1:25" x14ac:dyDescent="0.25">
      <c r="A85" t="s">
        <v>25</v>
      </c>
      <c r="B85" t="s">
        <v>26</v>
      </c>
      <c r="C85" t="str">
        <f t="shared" si="17"/>
        <v>1</v>
      </c>
      <c r="D85" t="str">
        <f t="shared" si="21"/>
        <v>1</v>
      </c>
      <c r="E85" t="str">
        <f>"0001307"</f>
        <v>0001307</v>
      </c>
      <c r="F85" t="s">
        <v>40</v>
      </c>
      <c r="G85" t="str">
        <f t="shared" si="22"/>
        <v>12704</v>
      </c>
      <c r="H85" t="str">
        <f t="shared" si="20"/>
        <v>01</v>
      </c>
      <c r="I85" t="s">
        <v>34</v>
      </c>
      <c r="J85" t="str">
        <f t="shared" si="18"/>
        <v>1101</v>
      </c>
      <c r="K85" t="str">
        <f>"99"</f>
        <v>99</v>
      </c>
      <c r="L85" s="3">
        <v>8.75</v>
      </c>
      <c r="M85" s="5">
        <v>0</v>
      </c>
      <c r="N85" s="7">
        <v>0</v>
      </c>
      <c r="O85" s="3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3">
        <v>0</v>
      </c>
      <c r="V85" s="7">
        <v>0</v>
      </c>
      <c r="W85" s="7">
        <v>0</v>
      </c>
      <c r="X85" s="3">
        <v>0</v>
      </c>
      <c r="Y85" s="7">
        <v>0</v>
      </c>
    </row>
    <row r="86" spans="1:25" x14ac:dyDescent="0.25">
      <c r="A86" t="s">
        <v>25</v>
      </c>
      <c r="B86" t="s">
        <v>26</v>
      </c>
      <c r="C86" t="str">
        <f t="shared" si="17"/>
        <v>1</v>
      </c>
      <c r="D86" t="str">
        <f t="shared" si="21"/>
        <v>1</v>
      </c>
      <c r="E86" t="str">
        <f>"0001308"</f>
        <v>0001308</v>
      </c>
      <c r="F86" t="s">
        <v>38</v>
      </c>
      <c r="G86" t="str">
        <f t="shared" si="22"/>
        <v>12704</v>
      </c>
      <c r="H86" t="str">
        <f t="shared" si="20"/>
        <v>01</v>
      </c>
      <c r="I86" t="s">
        <v>34</v>
      </c>
      <c r="J86" t="str">
        <f t="shared" si="18"/>
        <v>1101</v>
      </c>
      <c r="K86" t="str">
        <f>"06"</f>
        <v>06</v>
      </c>
      <c r="L86" s="3">
        <v>175</v>
      </c>
      <c r="M86" s="5">
        <v>175</v>
      </c>
      <c r="N86" s="7">
        <v>175</v>
      </c>
      <c r="O86" s="3">
        <v>0</v>
      </c>
      <c r="P86" s="7">
        <v>2.89</v>
      </c>
      <c r="Q86" s="7">
        <v>0</v>
      </c>
      <c r="R86" s="7">
        <v>0</v>
      </c>
      <c r="S86" s="7">
        <v>0</v>
      </c>
      <c r="T86" s="7">
        <v>175</v>
      </c>
      <c r="U86" s="3">
        <v>0</v>
      </c>
      <c r="V86" s="7">
        <v>13.3</v>
      </c>
      <c r="W86" s="7">
        <v>0</v>
      </c>
      <c r="X86" s="3">
        <v>0</v>
      </c>
      <c r="Y86" s="7">
        <v>0</v>
      </c>
    </row>
    <row r="87" spans="1:25" x14ac:dyDescent="0.25">
      <c r="A87" t="s">
        <v>25</v>
      </c>
      <c r="B87" t="s">
        <v>26</v>
      </c>
      <c r="C87" t="str">
        <f t="shared" si="17"/>
        <v>1</v>
      </c>
      <c r="D87" t="str">
        <f t="shared" si="21"/>
        <v>1</v>
      </c>
      <c r="E87" t="str">
        <f>"0001309"</f>
        <v>0001309</v>
      </c>
      <c r="F87" t="s">
        <v>40</v>
      </c>
      <c r="G87" t="str">
        <f t="shared" si="22"/>
        <v>12704</v>
      </c>
      <c r="H87" t="str">
        <f t="shared" si="20"/>
        <v>01</v>
      </c>
      <c r="I87" t="s">
        <v>34</v>
      </c>
      <c r="J87" t="str">
        <f t="shared" si="18"/>
        <v>1101</v>
      </c>
      <c r="K87" t="str">
        <f>"99"</f>
        <v>99</v>
      </c>
      <c r="L87" s="3">
        <v>8.75</v>
      </c>
      <c r="M87" s="5">
        <v>0</v>
      </c>
      <c r="N87" s="7">
        <v>0</v>
      </c>
      <c r="O87" s="3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3">
        <v>0</v>
      </c>
      <c r="V87" s="7">
        <v>0</v>
      </c>
      <c r="W87" s="7">
        <v>0</v>
      </c>
      <c r="X87" s="3">
        <v>0</v>
      </c>
      <c r="Y87" s="7">
        <v>0</v>
      </c>
    </row>
    <row r="88" spans="1:25" x14ac:dyDescent="0.25">
      <c r="A88" t="s">
        <v>25</v>
      </c>
      <c r="B88" t="s">
        <v>26</v>
      </c>
      <c r="C88" t="str">
        <f t="shared" si="17"/>
        <v>1</v>
      </c>
      <c r="D88" t="str">
        <f t="shared" si="21"/>
        <v>1</v>
      </c>
      <c r="E88" t="str">
        <f>"0001311"</f>
        <v>0001311</v>
      </c>
      <c r="F88" t="s">
        <v>38</v>
      </c>
      <c r="G88" t="str">
        <f t="shared" si="22"/>
        <v>12704</v>
      </c>
      <c r="H88" t="str">
        <f t="shared" si="20"/>
        <v>01</v>
      </c>
      <c r="I88" t="s">
        <v>34</v>
      </c>
      <c r="J88" t="str">
        <f t="shared" si="18"/>
        <v>1101</v>
      </c>
      <c r="K88" t="str">
        <f t="shared" ref="K88:K107" si="23">"06"</f>
        <v>06</v>
      </c>
      <c r="L88" s="3">
        <v>164</v>
      </c>
      <c r="M88" s="5">
        <v>164</v>
      </c>
      <c r="N88" s="7">
        <v>164</v>
      </c>
      <c r="O88" s="3">
        <v>0</v>
      </c>
      <c r="P88" s="7">
        <v>2.71</v>
      </c>
      <c r="Q88" s="7">
        <v>0</v>
      </c>
      <c r="R88" s="7">
        <v>0</v>
      </c>
      <c r="S88" s="7">
        <v>0</v>
      </c>
      <c r="T88" s="7">
        <v>164</v>
      </c>
      <c r="U88" s="3">
        <v>0</v>
      </c>
      <c r="V88" s="7">
        <v>12.46</v>
      </c>
      <c r="W88" s="7">
        <v>0</v>
      </c>
      <c r="X88" s="3">
        <v>0</v>
      </c>
      <c r="Y88" s="7">
        <v>0</v>
      </c>
    </row>
    <row r="89" spans="1:25" x14ac:dyDescent="0.25">
      <c r="A89" t="s">
        <v>25</v>
      </c>
      <c r="B89" t="s">
        <v>26</v>
      </c>
      <c r="C89" t="str">
        <f t="shared" si="17"/>
        <v>1</v>
      </c>
      <c r="D89" t="str">
        <f t="shared" si="21"/>
        <v>1</v>
      </c>
      <c r="E89" t="str">
        <f>"0001312"</f>
        <v>0001312</v>
      </c>
      <c r="F89" t="s">
        <v>36</v>
      </c>
      <c r="G89" t="str">
        <f t="shared" si="22"/>
        <v>12704</v>
      </c>
      <c r="H89" t="str">
        <f t="shared" si="20"/>
        <v>01</v>
      </c>
      <c r="I89" t="s">
        <v>34</v>
      </c>
      <c r="J89" t="str">
        <f t="shared" si="18"/>
        <v>1101</v>
      </c>
      <c r="K89" t="str">
        <f t="shared" si="23"/>
        <v>06</v>
      </c>
      <c r="L89" s="3">
        <v>172</v>
      </c>
      <c r="M89" s="5">
        <v>172</v>
      </c>
      <c r="N89" s="7">
        <v>172</v>
      </c>
      <c r="O89" s="3">
        <v>0</v>
      </c>
      <c r="P89" s="7">
        <v>2.84</v>
      </c>
      <c r="Q89" s="7">
        <v>0</v>
      </c>
      <c r="R89" s="7">
        <v>0</v>
      </c>
      <c r="S89" s="7">
        <v>0</v>
      </c>
      <c r="T89" s="7">
        <v>172</v>
      </c>
      <c r="U89" s="3">
        <v>0</v>
      </c>
      <c r="V89" s="7">
        <v>13.07</v>
      </c>
      <c r="W89" s="7">
        <v>0</v>
      </c>
      <c r="X89" s="3">
        <v>0</v>
      </c>
      <c r="Y89" s="7">
        <v>0</v>
      </c>
    </row>
    <row r="90" spans="1:25" x14ac:dyDescent="0.25">
      <c r="A90" t="s">
        <v>25</v>
      </c>
      <c r="B90" t="s">
        <v>26</v>
      </c>
      <c r="C90" t="str">
        <f t="shared" si="17"/>
        <v>1</v>
      </c>
      <c r="D90" t="str">
        <f t="shared" si="21"/>
        <v>1</v>
      </c>
      <c r="E90" t="str">
        <f>"0001330"</f>
        <v>0001330</v>
      </c>
      <c r="F90" t="s">
        <v>38</v>
      </c>
      <c r="G90" t="str">
        <f t="shared" si="22"/>
        <v>12704</v>
      </c>
      <c r="H90" t="str">
        <f t="shared" si="20"/>
        <v>01</v>
      </c>
      <c r="I90" t="s">
        <v>34</v>
      </c>
      <c r="J90" t="str">
        <f t="shared" si="18"/>
        <v>1101</v>
      </c>
      <c r="K90" t="str">
        <f t="shared" si="23"/>
        <v>06</v>
      </c>
      <c r="L90" s="3">
        <v>400</v>
      </c>
      <c r="M90" s="5">
        <v>400</v>
      </c>
      <c r="N90" s="7">
        <v>400</v>
      </c>
      <c r="O90" s="3">
        <v>0</v>
      </c>
      <c r="P90" s="7">
        <v>6.6</v>
      </c>
      <c r="Q90" s="7">
        <v>0</v>
      </c>
      <c r="R90" s="7">
        <v>0</v>
      </c>
      <c r="S90" s="7">
        <v>0</v>
      </c>
      <c r="T90" s="7">
        <v>400</v>
      </c>
      <c r="U90" s="3">
        <v>0</v>
      </c>
      <c r="V90" s="7">
        <v>30.4</v>
      </c>
      <c r="W90" s="7">
        <v>0</v>
      </c>
      <c r="X90" s="3">
        <v>0</v>
      </c>
      <c r="Y90" s="7">
        <v>0</v>
      </c>
    </row>
    <row r="91" spans="1:25" x14ac:dyDescent="0.25">
      <c r="A91" t="s">
        <v>25</v>
      </c>
      <c r="B91" t="s">
        <v>26</v>
      </c>
      <c r="C91" t="str">
        <f t="shared" si="17"/>
        <v>1</v>
      </c>
      <c r="D91" t="str">
        <f t="shared" si="21"/>
        <v>1</v>
      </c>
      <c r="E91" t="str">
        <f>"0001334"</f>
        <v>0001334</v>
      </c>
      <c r="F91" t="s">
        <v>36</v>
      </c>
      <c r="G91" t="str">
        <f t="shared" si="22"/>
        <v>12704</v>
      </c>
      <c r="H91" t="str">
        <f t="shared" si="20"/>
        <v>01</v>
      </c>
      <c r="I91" t="s">
        <v>41</v>
      </c>
      <c r="J91" t="str">
        <f t="shared" si="18"/>
        <v>1101</v>
      </c>
      <c r="K91" t="str">
        <f t="shared" si="23"/>
        <v>06</v>
      </c>
      <c r="L91" s="3">
        <v>140</v>
      </c>
      <c r="M91" s="5">
        <v>140</v>
      </c>
      <c r="N91" s="7">
        <v>140</v>
      </c>
      <c r="O91" s="3">
        <v>0</v>
      </c>
      <c r="P91" s="7">
        <v>2.31</v>
      </c>
      <c r="Q91" s="7">
        <v>0</v>
      </c>
      <c r="R91" s="7">
        <v>0</v>
      </c>
      <c r="S91" s="7">
        <v>0</v>
      </c>
      <c r="T91" s="7">
        <v>140</v>
      </c>
      <c r="U91" s="3">
        <v>0</v>
      </c>
      <c r="V91" s="7">
        <v>10.64</v>
      </c>
      <c r="W91" s="7">
        <v>0</v>
      </c>
      <c r="X91" s="3">
        <v>0</v>
      </c>
      <c r="Y91" s="7">
        <v>0</v>
      </c>
    </row>
    <row r="92" spans="1:25" x14ac:dyDescent="0.25">
      <c r="A92" t="s">
        <v>25</v>
      </c>
      <c r="B92" t="s">
        <v>26</v>
      </c>
      <c r="C92" t="str">
        <f t="shared" si="17"/>
        <v>1</v>
      </c>
      <c r="D92" t="str">
        <f t="shared" si="21"/>
        <v>1</v>
      </c>
      <c r="E92" t="str">
        <f>"0001336"</f>
        <v>0001336</v>
      </c>
      <c r="F92" t="s">
        <v>36</v>
      </c>
      <c r="G92" t="str">
        <f t="shared" si="22"/>
        <v>12704</v>
      </c>
      <c r="H92" t="str">
        <f t="shared" si="20"/>
        <v>01</v>
      </c>
      <c r="I92" t="s">
        <v>41</v>
      </c>
      <c r="J92" t="str">
        <f t="shared" si="18"/>
        <v>1101</v>
      </c>
      <c r="K92" t="str">
        <f t="shared" si="23"/>
        <v>06</v>
      </c>
      <c r="L92" s="3">
        <v>396</v>
      </c>
      <c r="M92" s="5">
        <v>396</v>
      </c>
      <c r="N92" s="7">
        <v>396</v>
      </c>
      <c r="O92" s="3">
        <v>0</v>
      </c>
      <c r="P92" s="7">
        <v>6.53</v>
      </c>
      <c r="Q92" s="7">
        <v>0</v>
      </c>
      <c r="R92" s="7">
        <v>0</v>
      </c>
      <c r="S92" s="7">
        <v>0</v>
      </c>
      <c r="T92" s="7">
        <v>396</v>
      </c>
      <c r="U92" s="3">
        <v>0</v>
      </c>
      <c r="V92" s="7">
        <v>30.1</v>
      </c>
      <c r="W92" s="7">
        <v>0</v>
      </c>
      <c r="X92" s="3">
        <v>0</v>
      </c>
      <c r="Y92" s="7">
        <v>0</v>
      </c>
    </row>
    <row r="93" spans="1:25" x14ac:dyDescent="0.25">
      <c r="A93" t="s">
        <v>25</v>
      </c>
      <c r="B93" t="s">
        <v>26</v>
      </c>
      <c r="C93" t="str">
        <f t="shared" si="17"/>
        <v>1</v>
      </c>
      <c r="D93" t="str">
        <f t="shared" si="21"/>
        <v>1</v>
      </c>
      <c r="E93" t="str">
        <f>"0001337"</f>
        <v>0001337</v>
      </c>
      <c r="F93" t="s">
        <v>38</v>
      </c>
      <c r="G93" t="str">
        <f t="shared" si="22"/>
        <v>12704</v>
      </c>
      <c r="H93" t="str">
        <f t="shared" si="20"/>
        <v>01</v>
      </c>
      <c r="I93" t="s">
        <v>34</v>
      </c>
      <c r="J93" t="str">
        <f t="shared" si="18"/>
        <v>1101</v>
      </c>
      <c r="K93" t="str">
        <f t="shared" si="23"/>
        <v>06</v>
      </c>
      <c r="L93" s="3">
        <v>180</v>
      </c>
      <c r="M93" s="5">
        <v>180</v>
      </c>
      <c r="N93" s="7">
        <v>180</v>
      </c>
      <c r="O93" s="3">
        <v>0</v>
      </c>
      <c r="P93" s="7">
        <v>2.97</v>
      </c>
      <c r="Q93" s="7">
        <v>0</v>
      </c>
      <c r="R93" s="7">
        <v>0</v>
      </c>
      <c r="S93" s="7">
        <v>0</v>
      </c>
      <c r="T93" s="7">
        <v>180</v>
      </c>
      <c r="U93" s="3">
        <v>0</v>
      </c>
      <c r="V93" s="7">
        <v>13.68</v>
      </c>
      <c r="W93" s="7">
        <v>0</v>
      </c>
      <c r="X93" s="3">
        <v>0</v>
      </c>
      <c r="Y93" s="7">
        <v>0</v>
      </c>
    </row>
    <row r="94" spans="1:25" x14ac:dyDescent="0.25">
      <c r="A94" t="s">
        <v>25</v>
      </c>
      <c r="B94" t="s">
        <v>26</v>
      </c>
      <c r="C94" t="str">
        <f t="shared" si="17"/>
        <v>1</v>
      </c>
      <c r="D94" t="str">
        <f t="shared" si="21"/>
        <v>1</v>
      </c>
      <c r="E94" t="str">
        <f>"0001340"</f>
        <v>0001340</v>
      </c>
      <c r="F94" t="s">
        <v>38</v>
      </c>
      <c r="G94" t="str">
        <f t="shared" si="22"/>
        <v>12704</v>
      </c>
      <c r="H94" t="str">
        <f t="shared" si="20"/>
        <v>01</v>
      </c>
      <c r="I94" t="s">
        <v>34</v>
      </c>
      <c r="J94" t="str">
        <f t="shared" si="18"/>
        <v>1101</v>
      </c>
      <c r="K94" t="str">
        <f t="shared" si="23"/>
        <v>06</v>
      </c>
      <c r="L94" s="3">
        <v>60</v>
      </c>
      <c r="M94" s="5">
        <v>60</v>
      </c>
      <c r="N94" s="7">
        <v>60</v>
      </c>
      <c r="O94" s="3">
        <v>0</v>
      </c>
      <c r="P94" s="7">
        <v>0.99</v>
      </c>
      <c r="Q94" s="7">
        <v>0</v>
      </c>
      <c r="R94" s="7">
        <v>0</v>
      </c>
      <c r="S94" s="7">
        <v>0</v>
      </c>
      <c r="T94" s="7">
        <v>60</v>
      </c>
      <c r="U94" s="3">
        <v>0</v>
      </c>
      <c r="V94" s="7">
        <v>4.5599999999999996</v>
      </c>
      <c r="W94" s="7">
        <v>0</v>
      </c>
      <c r="X94" s="3">
        <v>0</v>
      </c>
      <c r="Y94" s="7">
        <v>0</v>
      </c>
    </row>
    <row r="95" spans="1:25" x14ac:dyDescent="0.25">
      <c r="A95" t="s">
        <v>25</v>
      </c>
      <c r="B95" t="s">
        <v>26</v>
      </c>
      <c r="C95" t="str">
        <f t="shared" si="17"/>
        <v>1</v>
      </c>
      <c r="D95" t="str">
        <f t="shared" si="21"/>
        <v>1</v>
      </c>
      <c r="E95" t="str">
        <f>"0001345"</f>
        <v>0001345</v>
      </c>
      <c r="F95" t="s">
        <v>36</v>
      </c>
      <c r="G95" t="str">
        <f t="shared" si="22"/>
        <v>12704</v>
      </c>
      <c r="H95" t="str">
        <f t="shared" si="20"/>
        <v>01</v>
      </c>
      <c r="I95" t="s">
        <v>34</v>
      </c>
      <c r="J95" t="str">
        <f t="shared" si="18"/>
        <v>1101</v>
      </c>
      <c r="K95" t="str">
        <f t="shared" si="23"/>
        <v>06</v>
      </c>
      <c r="L95" s="3">
        <v>400</v>
      </c>
      <c r="M95" s="5">
        <v>400</v>
      </c>
      <c r="N95" s="7">
        <v>400</v>
      </c>
      <c r="O95" s="3">
        <v>0</v>
      </c>
      <c r="P95" s="7">
        <v>6.6</v>
      </c>
      <c r="Q95" s="7">
        <v>0</v>
      </c>
      <c r="R95" s="7">
        <v>0</v>
      </c>
      <c r="S95" s="7">
        <v>0</v>
      </c>
      <c r="T95" s="7">
        <v>400</v>
      </c>
      <c r="U95" s="3">
        <v>0</v>
      </c>
      <c r="V95" s="7">
        <v>30.4</v>
      </c>
      <c r="W95" s="7">
        <v>0</v>
      </c>
      <c r="X95" s="3">
        <v>0</v>
      </c>
      <c r="Y95" s="7">
        <v>0</v>
      </c>
    </row>
    <row r="96" spans="1:25" x14ac:dyDescent="0.25">
      <c r="A96" t="s">
        <v>25</v>
      </c>
      <c r="B96" t="s">
        <v>26</v>
      </c>
      <c r="C96" t="str">
        <f t="shared" si="17"/>
        <v>1</v>
      </c>
      <c r="D96" t="str">
        <f t="shared" si="21"/>
        <v>1</v>
      </c>
      <c r="E96" t="str">
        <f t="shared" ref="E96:E101" si="24">"0001349"</f>
        <v>0001349</v>
      </c>
      <c r="F96" t="s">
        <v>38</v>
      </c>
      <c r="G96" t="str">
        <f t="shared" si="22"/>
        <v>12704</v>
      </c>
      <c r="H96" t="str">
        <f t="shared" si="20"/>
        <v>01</v>
      </c>
      <c r="I96" t="s">
        <v>34</v>
      </c>
      <c r="J96" t="str">
        <f t="shared" si="18"/>
        <v>1101</v>
      </c>
      <c r="K96" t="str">
        <f t="shared" si="23"/>
        <v>06</v>
      </c>
      <c r="L96" s="3">
        <v>40</v>
      </c>
      <c r="M96" s="5">
        <v>40</v>
      </c>
      <c r="N96" s="7">
        <v>40</v>
      </c>
      <c r="O96" s="3">
        <v>0</v>
      </c>
      <c r="P96" s="7">
        <v>0.66</v>
      </c>
      <c r="Q96" s="7">
        <v>0</v>
      </c>
      <c r="R96" s="7">
        <v>0</v>
      </c>
      <c r="S96" s="7">
        <v>0</v>
      </c>
      <c r="T96" s="7">
        <v>40</v>
      </c>
      <c r="U96" s="3">
        <v>0</v>
      </c>
      <c r="V96" s="7">
        <v>3.04</v>
      </c>
      <c r="W96" s="7">
        <v>0</v>
      </c>
      <c r="X96" s="3">
        <v>0</v>
      </c>
      <c r="Y96" s="7">
        <v>0</v>
      </c>
    </row>
    <row r="97" spans="1:25" x14ac:dyDescent="0.25">
      <c r="A97" t="s">
        <v>25</v>
      </c>
      <c r="B97" t="s">
        <v>26</v>
      </c>
      <c r="C97" t="str">
        <f t="shared" si="17"/>
        <v>1</v>
      </c>
      <c r="D97" t="str">
        <f t="shared" si="21"/>
        <v>1</v>
      </c>
      <c r="E97" t="str">
        <f t="shared" si="24"/>
        <v>0001349</v>
      </c>
      <c r="F97" t="s">
        <v>38</v>
      </c>
      <c r="G97" t="str">
        <f t="shared" si="22"/>
        <v>12704</v>
      </c>
      <c r="H97" t="str">
        <f t="shared" si="20"/>
        <v>01</v>
      </c>
      <c r="I97" t="s">
        <v>42</v>
      </c>
      <c r="J97" t="str">
        <f t="shared" si="18"/>
        <v>1101</v>
      </c>
      <c r="K97" t="str">
        <f t="shared" si="23"/>
        <v>06</v>
      </c>
      <c r="L97" s="3">
        <v>60</v>
      </c>
      <c r="M97" s="5">
        <v>60</v>
      </c>
      <c r="N97" s="7">
        <v>60</v>
      </c>
      <c r="O97" s="3">
        <v>0</v>
      </c>
      <c r="P97" s="7">
        <v>0.99</v>
      </c>
      <c r="Q97" s="7">
        <v>0</v>
      </c>
      <c r="R97" s="7">
        <v>0</v>
      </c>
      <c r="S97" s="7">
        <v>0</v>
      </c>
      <c r="T97" s="7">
        <v>60</v>
      </c>
      <c r="U97" s="3">
        <v>0</v>
      </c>
      <c r="V97" s="7">
        <v>4.5599999999999996</v>
      </c>
      <c r="W97" s="7">
        <v>0</v>
      </c>
      <c r="X97" s="3">
        <v>0</v>
      </c>
      <c r="Y97" s="7">
        <v>0</v>
      </c>
    </row>
    <row r="98" spans="1:25" x14ac:dyDescent="0.25">
      <c r="A98" t="s">
        <v>25</v>
      </c>
      <c r="B98" t="s">
        <v>26</v>
      </c>
      <c r="C98" t="str">
        <f t="shared" si="17"/>
        <v>1</v>
      </c>
      <c r="D98" t="str">
        <f t="shared" si="21"/>
        <v>1</v>
      </c>
      <c r="E98" t="str">
        <f t="shared" si="24"/>
        <v>0001349</v>
      </c>
      <c r="F98" t="s">
        <v>38</v>
      </c>
      <c r="G98" t="str">
        <f t="shared" si="22"/>
        <v>12704</v>
      </c>
      <c r="H98" t="str">
        <f t="shared" si="20"/>
        <v>01</v>
      </c>
      <c r="I98" t="s">
        <v>43</v>
      </c>
      <c r="J98" t="str">
        <f t="shared" si="18"/>
        <v>1101</v>
      </c>
      <c r="K98" t="str">
        <f t="shared" si="23"/>
        <v>06</v>
      </c>
      <c r="L98" s="3">
        <v>100</v>
      </c>
      <c r="M98" s="5">
        <v>100</v>
      </c>
      <c r="N98" s="7">
        <v>100</v>
      </c>
      <c r="O98" s="3">
        <v>0</v>
      </c>
      <c r="P98" s="7">
        <v>1.65</v>
      </c>
      <c r="Q98" s="7">
        <v>0</v>
      </c>
      <c r="R98" s="7">
        <v>0</v>
      </c>
      <c r="S98" s="7">
        <v>0</v>
      </c>
      <c r="T98" s="7">
        <v>100</v>
      </c>
      <c r="U98" s="3">
        <v>0</v>
      </c>
      <c r="V98" s="7">
        <v>7.6</v>
      </c>
      <c r="W98" s="7">
        <v>0</v>
      </c>
      <c r="X98" s="3">
        <v>0</v>
      </c>
      <c r="Y98" s="7">
        <v>0</v>
      </c>
    </row>
    <row r="99" spans="1:25" x14ac:dyDescent="0.25">
      <c r="A99" t="s">
        <v>25</v>
      </c>
      <c r="B99" t="s">
        <v>26</v>
      </c>
      <c r="C99" t="str">
        <f t="shared" si="17"/>
        <v>1</v>
      </c>
      <c r="D99" t="str">
        <f t="shared" si="21"/>
        <v>1</v>
      </c>
      <c r="E99" t="str">
        <f t="shared" si="24"/>
        <v>0001349</v>
      </c>
      <c r="F99" t="s">
        <v>38</v>
      </c>
      <c r="G99" t="str">
        <f t="shared" si="22"/>
        <v>12704</v>
      </c>
      <c r="H99" t="str">
        <f t="shared" si="20"/>
        <v>01</v>
      </c>
      <c r="I99" t="s">
        <v>44</v>
      </c>
      <c r="J99" t="str">
        <f t="shared" si="18"/>
        <v>1101</v>
      </c>
      <c r="K99" t="str">
        <f t="shared" si="23"/>
        <v>06</v>
      </c>
      <c r="L99" s="3">
        <v>120</v>
      </c>
      <c r="M99" s="5">
        <v>120</v>
      </c>
      <c r="N99" s="7">
        <v>120</v>
      </c>
      <c r="O99" s="3">
        <v>0</v>
      </c>
      <c r="P99" s="7">
        <v>1.98</v>
      </c>
      <c r="Q99" s="7">
        <v>0</v>
      </c>
      <c r="R99" s="7">
        <v>0</v>
      </c>
      <c r="S99" s="7">
        <v>0</v>
      </c>
      <c r="T99" s="7">
        <v>120</v>
      </c>
      <c r="U99" s="3">
        <v>0</v>
      </c>
      <c r="V99" s="7">
        <v>9.1199999999999992</v>
      </c>
      <c r="W99" s="7">
        <v>0</v>
      </c>
      <c r="X99" s="3">
        <v>0</v>
      </c>
      <c r="Y99" s="7">
        <v>0</v>
      </c>
    </row>
    <row r="100" spans="1:25" x14ac:dyDescent="0.25">
      <c r="A100" t="s">
        <v>25</v>
      </c>
      <c r="B100" t="s">
        <v>26</v>
      </c>
      <c r="C100" t="str">
        <f t="shared" si="17"/>
        <v>1</v>
      </c>
      <c r="D100" t="str">
        <f t="shared" si="21"/>
        <v>1</v>
      </c>
      <c r="E100" t="str">
        <f t="shared" si="24"/>
        <v>0001349</v>
      </c>
      <c r="F100" t="s">
        <v>38</v>
      </c>
      <c r="G100" t="str">
        <f t="shared" si="22"/>
        <v>12704</v>
      </c>
      <c r="H100" t="str">
        <f t="shared" si="20"/>
        <v>01</v>
      </c>
      <c r="I100" t="s">
        <v>39</v>
      </c>
      <c r="J100" t="str">
        <f t="shared" si="18"/>
        <v>1101</v>
      </c>
      <c r="K100" t="str">
        <f t="shared" si="23"/>
        <v>06</v>
      </c>
      <c r="L100" s="3">
        <v>80</v>
      </c>
      <c r="M100" s="5">
        <v>80</v>
      </c>
      <c r="N100" s="7">
        <v>80</v>
      </c>
      <c r="O100" s="3">
        <v>0</v>
      </c>
      <c r="P100" s="7">
        <v>1.32</v>
      </c>
      <c r="Q100" s="7">
        <v>0</v>
      </c>
      <c r="R100" s="7">
        <v>0</v>
      </c>
      <c r="S100" s="7">
        <v>0</v>
      </c>
      <c r="T100" s="7">
        <v>80</v>
      </c>
      <c r="U100" s="3">
        <v>0</v>
      </c>
      <c r="V100" s="7">
        <v>6.08</v>
      </c>
      <c r="W100" s="7">
        <v>0</v>
      </c>
      <c r="X100" s="3">
        <v>0</v>
      </c>
      <c r="Y100" s="7">
        <v>0</v>
      </c>
    </row>
    <row r="101" spans="1:25" x14ac:dyDescent="0.25">
      <c r="A101" t="s">
        <v>25</v>
      </c>
      <c r="B101" t="s">
        <v>26</v>
      </c>
      <c r="C101" t="str">
        <f t="shared" si="17"/>
        <v>1</v>
      </c>
      <c r="D101" t="str">
        <f t="shared" si="21"/>
        <v>1</v>
      </c>
      <c r="E101" t="str">
        <f t="shared" si="24"/>
        <v>0001349</v>
      </c>
      <c r="F101" t="s">
        <v>38</v>
      </c>
      <c r="G101" t="str">
        <f t="shared" si="22"/>
        <v>12704</v>
      </c>
      <c r="H101" t="str">
        <f t="shared" si="20"/>
        <v>01</v>
      </c>
      <c r="I101" t="s">
        <v>45</v>
      </c>
      <c r="J101" t="str">
        <f t="shared" si="18"/>
        <v>1101</v>
      </c>
      <c r="K101" t="str">
        <f t="shared" si="23"/>
        <v>06</v>
      </c>
      <c r="L101" s="3">
        <v>100</v>
      </c>
      <c r="M101" s="5">
        <v>100</v>
      </c>
      <c r="N101" s="7">
        <v>100</v>
      </c>
      <c r="O101" s="3">
        <v>0</v>
      </c>
      <c r="P101" s="7">
        <v>1.65</v>
      </c>
      <c r="Q101" s="7">
        <v>0</v>
      </c>
      <c r="R101" s="7">
        <v>0</v>
      </c>
      <c r="S101" s="7">
        <v>0</v>
      </c>
      <c r="T101" s="7">
        <v>100</v>
      </c>
      <c r="U101" s="3">
        <v>0</v>
      </c>
      <c r="V101" s="7">
        <v>7.6</v>
      </c>
      <c r="W101" s="7">
        <v>0</v>
      </c>
      <c r="X101" s="3">
        <v>0</v>
      </c>
      <c r="Y101" s="7">
        <v>0</v>
      </c>
    </row>
    <row r="102" spans="1:25" x14ac:dyDescent="0.25">
      <c r="A102" t="s">
        <v>25</v>
      </c>
      <c r="B102" t="s">
        <v>26</v>
      </c>
      <c r="C102" t="str">
        <f t="shared" si="17"/>
        <v>1</v>
      </c>
      <c r="D102" t="str">
        <f t="shared" si="21"/>
        <v>1</v>
      </c>
      <c r="E102" t="str">
        <f>"0001351"</f>
        <v>0001351</v>
      </c>
      <c r="F102" t="s">
        <v>38</v>
      </c>
      <c r="G102" t="str">
        <f t="shared" si="22"/>
        <v>12704</v>
      </c>
      <c r="H102" t="str">
        <f t="shared" si="20"/>
        <v>01</v>
      </c>
      <c r="I102" t="s">
        <v>45</v>
      </c>
      <c r="J102" t="str">
        <f t="shared" si="18"/>
        <v>1101</v>
      </c>
      <c r="K102" t="str">
        <f t="shared" si="23"/>
        <v>06</v>
      </c>
      <c r="L102" s="3">
        <v>250</v>
      </c>
      <c r="M102" s="5">
        <v>250</v>
      </c>
      <c r="N102" s="7">
        <v>250</v>
      </c>
      <c r="O102" s="3">
        <v>0</v>
      </c>
      <c r="P102" s="7">
        <v>4.13</v>
      </c>
      <c r="Q102" s="7">
        <v>0</v>
      </c>
      <c r="R102" s="7">
        <v>0</v>
      </c>
      <c r="S102" s="7">
        <v>0</v>
      </c>
      <c r="T102" s="7">
        <v>250</v>
      </c>
      <c r="U102" s="3">
        <v>0</v>
      </c>
      <c r="V102" s="7">
        <v>19</v>
      </c>
      <c r="W102" s="7">
        <v>0</v>
      </c>
      <c r="X102" s="3">
        <v>0</v>
      </c>
      <c r="Y102" s="7">
        <v>0</v>
      </c>
    </row>
    <row r="103" spans="1:25" x14ac:dyDescent="0.25">
      <c r="A103" t="s">
        <v>25</v>
      </c>
      <c r="B103" t="s">
        <v>26</v>
      </c>
      <c r="C103" t="str">
        <f t="shared" si="17"/>
        <v>1</v>
      </c>
      <c r="D103" t="str">
        <f t="shared" si="21"/>
        <v>1</v>
      </c>
      <c r="E103" t="str">
        <f>"0001353"</f>
        <v>0001353</v>
      </c>
      <c r="F103" t="s">
        <v>36</v>
      </c>
      <c r="G103" t="str">
        <f t="shared" si="22"/>
        <v>12704</v>
      </c>
      <c r="H103" t="str">
        <f t="shared" si="20"/>
        <v>01</v>
      </c>
      <c r="I103" t="s">
        <v>42</v>
      </c>
      <c r="J103" t="str">
        <f t="shared" si="18"/>
        <v>1101</v>
      </c>
      <c r="K103" t="str">
        <f t="shared" si="23"/>
        <v>06</v>
      </c>
      <c r="L103" s="3">
        <v>100</v>
      </c>
      <c r="M103" s="5">
        <v>100</v>
      </c>
      <c r="N103" s="7">
        <v>100</v>
      </c>
      <c r="O103" s="3">
        <v>0</v>
      </c>
      <c r="P103" s="7">
        <v>1.65</v>
      </c>
      <c r="Q103" s="7">
        <v>0</v>
      </c>
      <c r="R103" s="7">
        <v>0</v>
      </c>
      <c r="S103" s="7">
        <v>0</v>
      </c>
      <c r="T103" s="7">
        <v>100</v>
      </c>
      <c r="U103" s="3">
        <v>0</v>
      </c>
      <c r="V103" s="7">
        <v>7.6</v>
      </c>
      <c r="W103" s="7">
        <v>0</v>
      </c>
      <c r="X103" s="3">
        <v>0</v>
      </c>
      <c r="Y103" s="7">
        <v>0</v>
      </c>
    </row>
    <row r="104" spans="1:25" x14ac:dyDescent="0.25">
      <c r="A104" t="s">
        <v>25</v>
      </c>
      <c r="B104" t="s">
        <v>26</v>
      </c>
      <c r="C104" t="str">
        <f t="shared" si="17"/>
        <v>1</v>
      </c>
      <c r="D104" t="str">
        <f t="shared" si="21"/>
        <v>1</v>
      </c>
      <c r="E104" t="str">
        <f>"0001355"</f>
        <v>0001355</v>
      </c>
      <c r="F104" t="s">
        <v>36</v>
      </c>
      <c r="G104" t="str">
        <f t="shared" si="22"/>
        <v>12704</v>
      </c>
      <c r="H104" t="str">
        <f t="shared" si="20"/>
        <v>01</v>
      </c>
      <c r="I104" t="s">
        <v>45</v>
      </c>
      <c r="J104" t="str">
        <f t="shared" si="18"/>
        <v>1101</v>
      </c>
      <c r="K104" t="str">
        <f t="shared" si="23"/>
        <v>06</v>
      </c>
      <c r="L104" s="3">
        <v>110</v>
      </c>
      <c r="M104" s="5">
        <v>110</v>
      </c>
      <c r="N104" s="7">
        <v>110</v>
      </c>
      <c r="O104" s="3">
        <v>0</v>
      </c>
      <c r="P104" s="7">
        <v>1.82</v>
      </c>
      <c r="Q104" s="7">
        <v>0</v>
      </c>
      <c r="R104" s="7">
        <v>0</v>
      </c>
      <c r="S104" s="7">
        <v>0</v>
      </c>
      <c r="T104" s="7">
        <v>110</v>
      </c>
      <c r="U104" s="3">
        <v>0</v>
      </c>
      <c r="V104" s="7">
        <v>8.36</v>
      </c>
      <c r="W104" s="7">
        <v>0</v>
      </c>
      <c r="X104" s="3">
        <v>0</v>
      </c>
      <c r="Y104" s="7">
        <v>0</v>
      </c>
    </row>
    <row r="105" spans="1:25" x14ac:dyDescent="0.25">
      <c r="A105" t="s">
        <v>25</v>
      </c>
      <c r="B105" t="s">
        <v>26</v>
      </c>
      <c r="C105" t="str">
        <f t="shared" si="17"/>
        <v>1</v>
      </c>
      <c r="D105" t="str">
        <f t="shared" si="21"/>
        <v>1</v>
      </c>
      <c r="E105" t="str">
        <f>"0001357"</f>
        <v>0001357</v>
      </c>
      <c r="F105" t="s">
        <v>38</v>
      </c>
      <c r="G105" t="str">
        <f t="shared" si="22"/>
        <v>12704</v>
      </c>
      <c r="H105" t="str">
        <f t="shared" si="20"/>
        <v>01</v>
      </c>
      <c r="I105" t="s">
        <v>42</v>
      </c>
      <c r="J105" t="str">
        <f t="shared" si="18"/>
        <v>1101</v>
      </c>
      <c r="K105" t="str">
        <f t="shared" si="23"/>
        <v>06</v>
      </c>
      <c r="L105" s="3">
        <v>125</v>
      </c>
      <c r="M105" s="5">
        <v>125</v>
      </c>
      <c r="N105" s="7">
        <v>125</v>
      </c>
      <c r="O105" s="3">
        <v>0</v>
      </c>
      <c r="P105" s="7">
        <v>2.06</v>
      </c>
      <c r="Q105" s="7">
        <v>0</v>
      </c>
      <c r="R105" s="7">
        <v>0</v>
      </c>
      <c r="S105" s="7">
        <v>0</v>
      </c>
      <c r="T105" s="7">
        <v>125</v>
      </c>
      <c r="U105" s="3">
        <v>0</v>
      </c>
      <c r="V105" s="7">
        <v>9.5</v>
      </c>
      <c r="W105" s="7">
        <v>0</v>
      </c>
      <c r="X105" s="3">
        <v>0</v>
      </c>
      <c r="Y105" s="7">
        <v>0</v>
      </c>
    </row>
    <row r="106" spans="1:25" x14ac:dyDescent="0.25">
      <c r="A106" t="s">
        <v>25</v>
      </c>
      <c r="B106" t="s">
        <v>26</v>
      </c>
      <c r="C106" t="str">
        <f t="shared" ref="C106:C137" si="25">"1"</f>
        <v>1</v>
      </c>
      <c r="D106" t="str">
        <f t="shared" si="21"/>
        <v>1</v>
      </c>
      <c r="E106" t="str">
        <f>"0001359"</f>
        <v>0001359</v>
      </c>
      <c r="F106" t="s">
        <v>38</v>
      </c>
      <c r="G106" t="str">
        <f t="shared" si="22"/>
        <v>12704</v>
      </c>
      <c r="H106" t="str">
        <f t="shared" si="20"/>
        <v>01</v>
      </c>
      <c r="I106" t="s">
        <v>45</v>
      </c>
      <c r="J106" t="str">
        <f t="shared" ref="J106:J137" si="26">"1101"</f>
        <v>1101</v>
      </c>
      <c r="K106" t="str">
        <f t="shared" si="23"/>
        <v>06</v>
      </c>
      <c r="L106" s="3">
        <v>155</v>
      </c>
      <c r="M106" s="5">
        <v>155</v>
      </c>
      <c r="N106" s="7">
        <v>155</v>
      </c>
      <c r="O106" s="3">
        <v>0</v>
      </c>
      <c r="P106" s="7">
        <v>2.56</v>
      </c>
      <c r="Q106" s="7">
        <v>0</v>
      </c>
      <c r="R106" s="7">
        <v>0</v>
      </c>
      <c r="S106" s="7">
        <v>0</v>
      </c>
      <c r="T106" s="7">
        <v>155</v>
      </c>
      <c r="U106" s="3">
        <v>0</v>
      </c>
      <c r="V106" s="7">
        <v>11.78</v>
      </c>
      <c r="W106" s="7">
        <v>0</v>
      </c>
      <c r="X106" s="3">
        <v>0</v>
      </c>
      <c r="Y106" s="7">
        <v>0</v>
      </c>
    </row>
    <row r="107" spans="1:25" x14ac:dyDescent="0.25">
      <c r="A107" t="s">
        <v>25</v>
      </c>
      <c r="B107" t="s">
        <v>26</v>
      </c>
      <c r="C107" t="str">
        <f t="shared" si="25"/>
        <v>1</v>
      </c>
      <c r="D107" t="str">
        <f t="shared" si="21"/>
        <v>1</v>
      </c>
      <c r="E107" t="str">
        <f>"0001362"</f>
        <v>0001362</v>
      </c>
      <c r="F107" t="s">
        <v>38</v>
      </c>
      <c r="G107" t="str">
        <f t="shared" si="22"/>
        <v>12704</v>
      </c>
      <c r="H107" t="str">
        <f t="shared" ref="H107:H138" si="27">"01"</f>
        <v>01</v>
      </c>
      <c r="I107" t="s">
        <v>34</v>
      </c>
      <c r="J107" t="str">
        <f t="shared" si="26"/>
        <v>1101</v>
      </c>
      <c r="K107" t="str">
        <f t="shared" si="23"/>
        <v>06</v>
      </c>
      <c r="L107" s="3">
        <v>275</v>
      </c>
      <c r="M107" s="5">
        <v>275</v>
      </c>
      <c r="N107" s="7">
        <v>275</v>
      </c>
      <c r="O107" s="3">
        <v>0</v>
      </c>
      <c r="P107" s="7">
        <v>4.54</v>
      </c>
      <c r="Q107" s="7">
        <v>0</v>
      </c>
      <c r="R107" s="7">
        <v>0</v>
      </c>
      <c r="S107" s="7">
        <v>0</v>
      </c>
      <c r="T107" s="7">
        <v>275</v>
      </c>
      <c r="U107" s="3">
        <v>0</v>
      </c>
      <c r="V107" s="7">
        <v>20.9</v>
      </c>
      <c r="W107" s="7">
        <v>0</v>
      </c>
      <c r="X107" s="3">
        <v>0</v>
      </c>
      <c r="Y107" s="7">
        <v>0</v>
      </c>
    </row>
    <row r="108" spans="1:25" x14ac:dyDescent="0.25">
      <c r="A108" t="s">
        <v>25</v>
      </c>
      <c r="B108" t="s">
        <v>26</v>
      </c>
      <c r="C108" t="str">
        <f t="shared" si="25"/>
        <v>1</v>
      </c>
      <c r="D108" t="str">
        <f t="shared" si="21"/>
        <v>1</v>
      </c>
      <c r="E108" t="str">
        <f>"0001363"</f>
        <v>0001363</v>
      </c>
      <c r="F108" t="s">
        <v>40</v>
      </c>
      <c r="G108" t="str">
        <f t="shared" si="22"/>
        <v>12704</v>
      </c>
      <c r="H108" t="str">
        <f t="shared" si="27"/>
        <v>01</v>
      </c>
      <c r="I108" t="s">
        <v>34</v>
      </c>
      <c r="J108" t="str">
        <f t="shared" si="26"/>
        <v>1101</v>
      </c>
      <c r="K108" t="str">
        <f>"99"</f>
        <v>99</v>
      </c>
      <c r="L108" s="3">
        <v>13.75</v>
      </c>
      <c r="M108" s="5">
        <v>0</v>
      </c>
      <c r="N108" s="7">
        <v>0</v>
      </c>
      <c r="O108" s="3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3">
        <v>0</v>
      </c>
      <c r="V108" s="7">
        <v>0</v>
      </c>
      <c r="W108" s="7">
        <v>0</v>
      </c>
      <c r="X108" s="3">
        <v>0</v>
      </c>
      <c r="Y108" s="7">
        <v>0</v>
      </c>
    </row>
    <row r="109" spans="1:25" x14ac:dyDescent="0.25">
      <c r="A109" t="s">
        <v>25</v>
      </c>
      <c r="B109" t="s">
        <v>26</v>
      </c>
      <c r="C109" t="str">
        <f t="shared" si="25"/>
        <v>1</v>
      </c>
      <c r="D109" t="str">
        <f t="shared" si="21"/>
        <v>1</v>
      </c>
      <c r="E109" t="str">
        <f>"0001364"</f>
        <v>0001364</v>
      </c>
      <c r="F109" t="s">
        <v>46</v>
      </c>
      <c r="G109" t="str">
        <f t="shared" si="22"/>
        <v>12704</v>
      </c>
      <c r="H109" t="str">
        <f t="shared" si="27"/>
        <v>01</v>
      </c>
      <c r="I109" t="s">
        <v>34</v>
      </c>
      <c r="J109" t="str">
        <f t="shared" si="26"/>
        <v>1101</v>
      </c>
      <c r="K109" t="str">
        <f>"06"</f>
        <v>06</v>
      </c>
      <c r="L109" s="3">
        <v>272</v>
      </c>
      <c r="M109" s="5">
        <v>272</v>
      </c>
      <c r="N109" s="7">
        <v>272</v>
      </c>
      <c r="O109" s="3">
        <v>0</v>
      </c>
      <c r="P109" s="7">
        <v>4.49</v>
      </c>
      <c r="Q109" s="7">
        <v>0</v>
      </c>
      <c r="R109" s="7">
        <v>0</v>
      </c>
      <c r="S109" s="7">
        <v>0</v>
      </c>
      <c r="T109" s="7">
        <v>272</v>
      </c>
      <c r="U109" s="3">
        <v>0</v>
      </c>
      <c r="V109" s="7">
        <v>20.67</v>
      </c>
      <c r="W109" s="7">
        <v>0</v>
      </c>
      <c r="X109" s="3">
        <v>0</v>
      </c>
      <c r="Y109" s="7">
        <v>0</v>
      </c>
    </row>
    <row r="110" spans="1:25" x14ac:dyDescent="0.25">
      <c r="A110" t="s">
        <v>25</v>
      </c>
      <c r="B110" t="s">
        <v>26</v>
      </c>
      <c r="C110" t="str">
        <f t="shared" si="25"/>
        <v>1</v>
      </c>
      <c r="D110" t="str">
        <f t="shared" si="21"/>
        <v>1</v>
      </c>
      <c r="E110" t="str">
        <f>"0001365"</f>
        <v>0001365</v>
      </c>
      <c r="F110" t="s">
        <v>36</v>
      </c>
      <c r="G110" t="str">
        <f t="shared" si="22"/>
        <v>12704</v>
      </c>
      <c r="H110" t="str">
        <f t="shared" si="27"/>
        <v>01</v>
      </c>
      <c r="I110" t="s">
        <v>34</v>
      </c>
      <c r="J110" t="str">
        <f t="shared" si="26"/>
        <v>1101</v>
      </c>
      <c r="K110" t="str">
        <f>"06"</f>
        <v>06</v>
      </c>
      <c r="L110" s="3">
        <v>300</v>
      </c>
      <c r="M110" s="5">
        <v>300</v>
      </c>
      <c r="N110" s="7">
        <v>300</v>
      </c>
      <c r="O110" s="3">
        <v>0</v>
      </c>
      <c r="P110" s="7">
        <v>4.95</v>
      </c>
      <c r="Q110" s="7">
        <v>0</v>
      </c>
      <c r="R110" s="7">
        <v>0</v>
      </c>
      <c r="S110" s="7">
        <v>0</v>
      </c>
      <c r="T110" s="7">
        <v>300</v>
      </c>
      <c r="U110" s="3">
        <v>0</v>
      </c>
      <c r="V110" s="7">
        <v>22.8</v>
      </c>
      <c r="W110" s="7">
        <v>0</v>
      </c>
      <c r="X110" s="3">
        <v>0</v>
      </c>
      <c r="Y110" s="7">
        <v>0</v>
      </c>
    </row>
    <row r="111" spans="1:25" x14ac:dyDescent="0.25">
      <c r="A111" t="s">
        <v>25</v>
      </c>
      <c r="B111" t="s">
        <v>26</v>
      </c>
      <c r="C111" t="str">
        <f t="shared" si="25"/>
        <v>1</v>
      </c>
      <c r="D111" t="str">
        <f t="shared" si="21"/>
        <v>1</v>
      </c>
      <c r="E111" t="str">
        <f>"0001370"</f>
        <v>0001370</v>
      </c>
      <c r="F111" t="s">
        <v>38</v>
      </c>
      <c r="G111" t="str">
        <f t="shared" si="22"/>
        <v>12704</v>
      </c>
      <c r="H111" t="str">
        <f t="shared" si="27"/>
        <v>01</v>
      </c>
      <c r="I111" t="s">
        <v>34</v>
      </c>
      <c r="J111" t="str">
        <f t="shared" si="26"/>
        <v>1101</v>
      </c>
      <c r="K111" t="str">
        <f>"06"</f>
        <v>06</v>
      </c>
      <c r="L111" s="3">
        <v>360</v>
      </c>
      <c r="M111" s="5">
        <v>360</v>
      </c>
      <c r="N111" s="7">
        <v>360</v>
      </c>
      <c r="O111" s="3">
        <v>0</v>
      </c>
      <c r="P111" s="7">
        <v>5.94</v>
      </c>
      <c r="Q111" s="7">
        <v>0</v>
      </c>
      <c r="R111" s="7">
        <v>0</v>
      </c>
      <c r="S111" s="7">
        <v>0</v>
      </c>
      <c r="T111" s="7">
        <v>360</v>
      </c>
      <c r="U111" s="3">
        <v>0</v>
      </c>
      <c r="V111" s="7">
        <v>27.36</v>
      </c>
      <c r="W111" s="7">
        <v>0</v>
      </c>
      <c r="X111" s="3">
        <v>0</v>
      </c>
      <c r="Y111" s="7">
        <v>0</v>
      </c>
    </row>
    <row r="112" spans="1:25" x14ac:dyDescent="0.25">
      <c r="A112" t="s">
        <v>25</v>
      </c>
      <c r="B112" t="s">
        <v>26</v>
      </c>
      <c r="C112" t="str">
        <f t="shared" si="25"/>
        <v>1</v>
      </c>
      <c r="D112" t="str">
        <f t="shared" si="21"/>
        <v>1</v>
      </c>
      <c r="E112" t="str">
        <f>"0001374"</f>
        <v>0001374</v>
      </c>
      <c r="F112" t="s">
        <v>36</v>
      </c>
      <c r="G112" t="str">
        <f t="shared" si="22"/>
        <v>12704</v>
      </c>
      <c r="H112" t="str">
        <f t="shared" si="27"/>
        <v>01</v>
      </c>
      <c r="I112" t="s">
        <v>34</v>
      </c>
      <c r="J112" t="str">
        <f t="shared" si="26"/>
        <v>1101</v>
      </c>
      <c r="K112" t="str">
        <f>"06"</f>
        <v>06</v>
      </c>
      <c r="L112" s="3">
        <v>160</v>
      </c>
      <c r="M112" s="5">
        <v>160</v>
      </c>
      <c r="N112" s="7">
        <v>160</v>
      </c>
      <c r="O112" s="3">
        <v>0</v>
      </c>
      <c r="P112" s="7">
        <v>2.64</v>
      </c>
      <c r="Q112" s="7">
        <v>0</v>
      </c>
      <c r="R112" s="7">
        <v>0</v>
      </c>
      <c r="S112" s="7">
        <v>0</v>
      </c>
      <c r="T112" s="7">
        <v>160</v>
      </c>
      <c r="U112" s="3">
        <v>0</v>
      </c>
      <c r="V112" s="7">
        <v>12.16</v>
      </c>
      <c r="W112" s="7">
        <v>0</v>
      </c>
      <c r="X112" s="3">
        <v>0</v>
      </c>
      <c r="Y112" s="7">
        <v>0</v>
      </c>
    </row>
    <row r="113" spans="1:25" x14ac:dyDescent="0.25">
      <c r="A113" t="s">
        <v>25</v>
      </c>
      <c r="B113" t="s">
        <v>26</v>
      </c>
      <c r="C113" t="str">
        <f t="shared" si="25"/>
        <v>1</v>
      </c>
      <c r="D113" t="str">
        <f t="shared" ref="D113:D144" si="28">"1"</f>
        <v>1</v>
      </c>
      <c r="E113" t="str">
        <f>"0001377"</f>
        <v>0001377</v>
      </c>
      <c r="F113" t="s">
        <v>47</v>
      </c>
      <c r="G113" t="str">
        <f t="shared" ref="G113:G144" si="29">"12704"</f>
        <v>12704</v>
      </c>
      <c r="H113" t="str">
        <f t="shared" si="27"/>
        <v>01</v>
      </c>
      <c r="I113" t="s">
        <v>34</v>
      </c>
      <c r="J113" t="str">
        <f t="shared" si="26"/>
        <v>1101</v>
      </c>
      <c r="K113" t="str">
        <f>"99"</f>
        <v>99</v>
      </c>
      <c r="L113" s="3">
        <v>0</v>
      </c>
      <c r="M113" s="5">
        <v>0</v>
      </c>
      <c r="N113" s="7">
        <v>0</v>
      </c>
      <c r="O113" s="3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3">
        <v>0</v>
      </c>
      <c r="V113" s="7">
        <v>0</v>
      </c>
      <c r="W113" s="7">
        <v>0</v>
      </c>
      <c r="X113" s="3">
        <v>0</v>
      </c>
      <c r="Y113" s="7">
        <v>0</v>
      </c>
    </row>
    <row r="114" spans="1:25" x14ac:dyDescent="0.25">
      <c r="A114" t="s">
        <v>25</v>
      </c>
      <c r="B114" t="s">
        <v>26</v>
      </c>
      <c r="C114" t="str">
        <f t="shared" si="25"/>
        <v>1</v>
      </c>
      <c r="D114" t="str">
        <f t="shared" si="28"/>
        <v>1</v>
      </c>
      <c r="E114" t="str">
        <f>"0001378"</f>
        <v>0001378</v>
      </c>
      <c r="F114" t="s">
        <v>40</v>
      </c>
      <c r="G114" t="str">
        <f t="shared" si="29"/>
        <v>12704</v>
      </c>
      <c r="H114" t="str">
        <f t="shared" si="27"/>
        <v>01</v>
      </c>
      <c r="I114" t="s">
        <v>34</v>
      </c>
      <c r="J114" t="str">
        <f t="shared" si="26"/>
        <v>1101</v>
      </c>
      <c r="K114" t="str">
        <f>"99"</f>
        <v>99</v>
      </c>
      <c r="L114" s="3">
        <v>17.5</v>
      </c>
      <c r="M114" s="5">
        <v>0</v>
      </c>
      <c r="N114" s="7">
        <v>0</v>
      </c>
      <c r="O114" s="3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3">
        <v>0</v>
      </c>
      <c r="V114" s="7">
        <v>0</v>
      </c>
      <c r="W114" s="7">
        <v>0</v>
      </c>
      <c r="X114" s="3">
        <v>0</v>
      </c>
      <c r="Y114" s="7">
        <v>0</v>
      </c>
    </row>
    <row r="115" spans="1:25" x14ac:dyDescent="0.25">
      <c r="A115" t="s">
        <v>25</v>
      </c>
      <c r="B115" t="s">
        <v>26</v>
      </c>
      <c r="C115" t="str">
        <f t="shared" si="25"/>
        <v>1</v>
      </c>
      <c r="D115" t="str">
        <f t="shared" si="28"/>
        <v>1</v>
      </c>
      <c r="E115" t="str">
        <f>"0001379"</f>
        <v>0001379</v>
      </c>
      <c r="F115" t="s">
        <v>38</v>
      </c>
      <c r="G115" t="str">
        <f t="shared" si="29"/>
        <v>12704</v>
      </c>
      <c r="H115" t="str">
        <f t="shared" si="27"/>
        <v>01</v>
      </c>
      <c r="I115" t="s">
        <v>34</v>
      </c>
      <c r="J115" t="str">
        <f t="shared" si="26"/>
        <v>1101</v>
      </c>
      <c r="K115" t="str">
        <f t="shared" ref="K115:K121" si="30">"06"</f>
        <v>06</v>
      </c>
      <c r="L115" s="3">
        <v>120</v>
      </c>
      <c r="M115" s="5">
        <v>120</v>
      </c>
      <c r="N115" s="7">
        <v>120</v>
      </c>
      <c r="O115" s="3">
        <v>0</v>
      </c>
      <c r="P115" s="7">
        <v>1.98</v>
      </c>
      <c r="Q115" s="7">
        <v>0</v>
      </c>
      <c r="R115" s="7">
        <v>0</v>
      </c>
      <c r="S115" s="7">
        <v>0</v>
      </c>
      <c r="T115" s="7">
        <v>120</v>
      </c>
      <c r="U115" s="3">
        <v>0</v>
      </c>
      <c r="V115" s="7">
        <v>9.1199999999999992</v>
      </c>
      <c r="W115" s="7">
        <v>0</v>
      </c>
      <c r="X115" s="3">
        <v>0</v>
      </c>
      <c r="Y115" s="7">
        <v>0</v>
      </c>
    </row>
    <row r="116" spans="1:25" x14ac:dyDescent="0.25">
      <c r="A116" t="s">
        <v>25</v>
      </c>
      <c r="B116" t="s">
        <v>26</v>
      </c>
      <c r="C116" t="str">
        <f t="shared" si="25"/>
        <v>1</v>
      </c>
      <c r="D116" t="str">
        <f t="shared" si="28"/>
        <v>1</v>
      </c>
      <c r="E116" t="str">
        <f>"0001383"</f>
        <v>0001383</v>
      </c>
      <c r="F116" t="s">
        <v>38</v>
      </c>
      <c r="G116" t="str">
        <f t="shared" si="29"/>
        <v>12704</v>
      </c>
      <c r="H116" t="str">
        <f t="shared" si="27"/>
        <v>01</v>
      </c>
      <c r="I116" t="s">
        <v>39</v>
      </c>
      <c r="J116" t="str">
        <f t="shared" si="26"/>
        <v>1101</v>
      </c>
      <c r="K116" t="str">
        <f t="shared" si="30"/>
        <v>06</v>
      </c>
      <c r="L116" s="3">
        <v>80</v>
      </c>
      <c r="M116" s="5">
        <v>80</v>
      </c>
      <c r="N116" s="7">
        <v>80</v>
      </c>
      <c r="O116" s="3">
        <v>0</v>
      </c>
      <c r="P116" s="7">
        <v>1.32</v>
      </c>
      <c r="Q116" s="7">
        <v>0</v>
      </c>
      <c r="R116" s="7">
        <v>0</v>
      </c>
      <c r="S116" s="7">
        <v>0</v>
      </c>
      <c r="T116" s="7">
        <v>80</v>
      </c>
      <c r="U116" s="3">
        <v>0</v>
      </c>
      <c r="V116" s="7">
        <v>6.08</v>
      </c>
      <c r="W116" s="7">
        <v>0</v>
      </c>
      <c r="X116" s="3">
        <v>0</v>
      </c>
      <c r="Y116" s="7">
        <v>0</v>
      </c>
    </row>
    <row r="117" spans="1:25" x14ac:dyDescent="0.25">
      <c r="A117" t="s">
        <v>25</v>
      </c>
      <c r="B117" t="s">
        <v>26</v>
      </c>
      <c r="C117" t="str">
        <f t="shared" si="25"/>
        <v>1</v>
      </c>
      <c r="D117" t="str">
        <f t="shared" si="28"/>
        <v>1</v>
      </c>
      <c r="E117" t="str">
        <f>"0001386"</f>
        <v>0001386</v>
      </c>
      <c r="F117" t="s">
        <v>36</v>
      </c>
      <c r="G117" t="str">
        <f t="shared" si="29"/>
        <v>12704</v>
      </c>
      <c r="H117" t="str">
        <f t="shared" si="27"/>
        <v>01</v>
      </c>
      <c r="I117" t="s">
        <v>34</v>
      </c>
      <c r="J117" t="str">
        <f t="shared" si="26"/>
        <v>1101</v>
      </c>
      <c r="K117" t="str">
        <f t="shared" si="30"/>
        <v>06</v>
      </c>
      <c r="L117" s="3">
        <v>332.5</v>
      </c>
      <c r="M117" s="5">
        <v>332.5</v>
      </c>
      <c r="N117" s="7">
        <v>332.5</v>
      </c>
      <c r="O117" s="3">
        <v>0</v>
      </c>
      <c r="P117" s="7">
        <v>5.49</v>
      </c>
      <c r="Q117" s="7">
        <v>0</v>
      </c>
      <c r="R117" s="7">
        <v>0</v>
      </c>
      <c r="S117" s="7">
        <v>0</v>
      </c>
      <c r="T117" s="7">
        <v>332.5</v>
      </c>
      <c r="U117" s="3">
        <v>0</v>
      </c>
      <c r="V117" s="7">
        <v>25.27</v>
      </c>
      <c r="W117" s="7">
        <v>0</v>
      </c>
      <c r="X117" s="3">
        <v>0</v>
      </c>
      <c r="Y117" s="7">
        <v>0</v>
      </c>
    </row>
    <row r="118" spans="1:25" x14ac:dyDescent="0.25">
      <c r="A118" t="s">
        <v>25</v>
      </c>
      <c r="B118" t="s">
        <v>26</v>
      </c>
      <c r="C118" t="str">
        <f t="shared" si="25"/>
        <v>1</v>
      </c>
      <c r="D118" t="str">
        <f t="shared" si="28"/>
        <v>1</v>
      </c>
      <c r="E118" t="str">
        <f>"0001388"</f>
        <v>0001388</v>
      </c>
      <c r="F118" t="s">
        <v>36</v>
      </c>
      <c r="G118" t="str">
        <f t="shared" si="29"/>
        <v>12704</v>
      </c>
      <c r="H118" t="str">
        <f t="shared" si="27"/>
        <v>01</v>
      </c>
      <c r="I118" t="s">
        <v>34</v>
      </c>
      <c r="J118" t="str">
        <f t="shared" si="26"/>
        <v>1101</v>
      </c>
      <c r="K118" t="str">
        <f t="shared" si="30"/>
        <v>06</v>
      </c>
      <c r="L118" s="3">
        <v>240</v>
      </c>
      <c r="M118" s="5">
        <v>240</v>
      </c>
      <c r="N118" s="7">
        <v>240</v>
      </c>
      <c r="O118" s="3">
        <v>0</v>
      </c>
      <c r="P118" s="7">
        <v>3.96</v>
      </c>
      <c r="Q118" s="7">
        <v>0</v>
      </c>
      <c r="R118" s="7">
        <v>0</v>
      </c>
      <c r="S118" s="7">
        <v>0</v>
      </c>
      <c r="T118" s="7">
        <v>240</v>
      </c>
      <c r="U118" s="3">
        <v>0</v>
      </c>
      <c r="V118" s="7">
        <v>18.239999999999998</v>
      </c>
      <c r="W118" s="7">
        <v>0</v>
      </c>
      <c r="X118" s="3">
        <v>0</v>
      </c>
      <c r="Y118" s="7">
        <v>0</v>
      </c>
    </row>
    <row r="119" spans="1:25" x14ac:dyDescent="0.25">
      <c r="A119" t="s">
        <v>25</v>
      </c>
      <c r="B119" t="s">
        <v>26</v>
      </c>
      <c r="C119" t="str">
        <f t="shared" si="25"/>
        <v>1</v>
      </c>
      <c r="D119" t="str">
        <f t="shared" si="28"/>
        <v>1</v>
      </c>
      <c r="E119" t="str">
        <f>"0001390"</f>
        <v>0001390</v>
      </c>
      <c r="F119" t="s">
        <v>38</v>
      </c>
      <c r="G119" t="str">
        <f t="shared" si="29"/>
        <v>12704</v>
      </c>
      <c r="H119" t="str">
        <f t="shared" si="27"/>
        <v>01</v>
      </c>
      <c r="I119" t="s">
        <v>39</v>
      </c>
      <c r="J119" t="str">
        <f t="shared" si="26"/>
        <v>1101</v>
      </c>
      <c r="K119" t="str">
        <f t="shared" si="30"/>
        <v>06</v>
      </c>
      <c r="L119" s="3">
        <v>192</v>
      </c>
      <c r="M119" s="5">
        <v>192</v>
      </c>
      <c r="N119" s="7">
        <v>192</v>
      </c>
      <c r="O119" s="3">
        <v>0</v>
      </c>
      <c r="P119" s="7">
        <v>3.17</v>
      </c>
      <c r="Q119" s="7">
        <v>0</v>
      </c>
      <c r="R119" s="7">
        <v>0</v>
      </c>
      <c r="S119" s="7">
        <v>0</v>
      </c>
      <c r="T119" s="7">
        <v>192</v>
      </c>
      <c r="U119" s="3">
        <v>0</v>
      </c>
      <c r="V119" s="7">
        <v>14.59</v>
      </c>
      <c r="W119" s="7">
        <v>0</v>
      </c>
      <c r="X119" s="3">
        <v>0</v>
      </c>
      <c r="Y119" s="7">
        <v>0</v>
      </c>
    </row>
    <row r="120" spans="1:25" x14ac:dyDescent="0.25">
      <c r="A120" t="s">
        <v>25</v>
      </c>
      <c r="B120" t="s">
        <v>26</v>
      </c>
      <c r="C120" t="str">
        <f t="shared" si="25"/>
        <v>1</v>
      </c>
      <c r="D120" t="str">
        <f t="shared" si="28"/>
        <v>1</v>
      </c>
      <c r="E120" t="str">
        <f>"0001390"</f>
        <v>0001390</v>
      </c>
      <c r="F120" t="s">
        <v>38</v>
      </c>
      <c r="G120" t="str">
        <f t="shared" si="29"/>
        <v>12704</v>
      </c>
      <c r="H120" t="str">
        <f t="shared" si="27"/>
        <v>01</v>
      </c>
      <c r="I120" t="s">
        <v>44</v>
      </c>
      <c r="J120" t="str">
        <f t="shared" si="26"/>
        <v>1101</v>
      </c>
      <c r="K120" t="str">
        <f t="shared" si="30"/>
        <v>06</v>
      </c>
      <c r="L120" s="3">
        <v>175</v>
      </c>
      <c r="M120" s="5">
        <v>175</v>
      </c>
      <c r="N120" s="7">
        <v>175</v>
      </c>
      <c r="O120" s="3">
        <v>0</v>
      </c>
      <c r="P120" s="7">
        <v>2.89</v>
      </c>
      <c r="Q120" s="7">
        <v>0</v>
      </c>
      <c r="R120" s="7">
        <v>0</v>
      </c>
      <c r="S120" s="7">
        <v>0</v>
      </c>
      <c r="T120" s="7">
        <v>175</v>
      </c>
      <c r="U120" s="3">
        <v>0</v>
      </c>
      <c r="V120" s="7">
        <v>13.3</v>
      </c>
      <c r="W120" s="7">
        <v>0</v>
      </c>
      <c r="X120" s="3">
        <v>0</v>
      </c>
      <c r="Y120" s="7">
        <v>0</v>
      </c>
    </row>
    <row r="121" spans="1:25" x14ac:dyDescent="0.25">
      <c r="A121" t="s">
        <v>25</v>
      </c>
      <c r="B121" t="s">
        <v>26</v>
      </c>
      <c r="C121" t="str">
        <f t="shared" si="25"/>
        <v>1</v>
      </c>
      <c r="D121" t="str">
        <f t="shared" si="28"/>
        <v>1</v>
      </c>
      <c r="E121" t="str">
        <f>"0001390"</f>
        <v>0001390</v>
      </c>
      <c r="F121" t="s">
        <v>38</v>
      </c>
      <c r="G121" t="str">
        <f t="shared" si="29"/>
        <v>12704</v>
      </c>
      <c r="H121" t="str">
        <f t="shared" si="27"/>
        <v>01</v>
      </c>
      <c r="I121" t="s">
        <v>34</v>
      </c>
      <c r="J121" t="str">
        <f t="shared" si="26"/>
        <v>1101</v>
      </c>
      <c r="K121" t="str">
        <f t="shared" si="30"/>
        <v>06</v>
      </c>
      <c r="L121" s="3">
        <v>138.6</v>
      </c>
      <c r="M121" s="5">
        <v>138.6</v>
      </c>
      <c r="N121" s="7">
        <v>138.6</v>
      </c>
      <c r="O121" s="3">
        <v>0</v>
      </c>
      <c r="P121" s="7">
        <v>2.29</v>
      </c>
      <c r="Q121" s="7">
        <v>0</v>
      </c>
      <c r="R121" s="7">
        <v>0</v>
      </c>
      <c r="S121" s="7">
        <v>0</v>
      </c>
      <c r="T121" s="7">
        <v>138.6</v>
      </c>
      <c r="U121" s="3">
        <v>0</v>
      </c>
      <c r="V121" s="7">
        <v>10.53</v>
      </c>
      <c r="W121" s="7">
        <v>0</v>
      </c>
      <c r="X121" s="3">
        <v>0</v>
      </c>
      <c r="Y121" s="7">
        <v>0</v>
      </c>
    </row>
    <row r="122" spans="1:25" x14ac:dyDescent="0.25">
      <c r="A122" t="s">
        <v>25</v>
      </c>
      <c r="B122" t="s">
        <v>26</v>
      </c>
      <c r="C122" t="str">
        <f t="shared" si="25"/>
        <v>1</v>
      </c>
      <c r="D122" t="str">
        <f t="shared" si="28"/>
        <v>1</v>
      </c>
      <c r="E122" t="str">
        <f t="shared" ref="E122:E127" si="31">"0001391"</f>
        <v>0001391</v>
      </c>
      <c r="F122" t="s">
        <v>40</v>
      </c>
      <c r="G122" t="str">
        <f t="shared" si="29"/>
        <v>12704</v>
      </c>
      <c r="H122" t="str">
        <f t="shared" si="27"/>
        <v>01</v>
      </c>
      <c r="I122" t="s">
        <v>44</v>
      </c>
      <c r="J122" t="str">
        <f t="shared" si="26"/>
        <v>1101</v>
      </c>
      <c r="K122" t="str">
        <f>"99"</f>
        <v>99</v>
      </c>
      <c r="L122" s="3">
        <v>8.75</v>
      </c>
      <c r="M122" s="5">
        <v>0</v>
      </c>
      <c r="N122" s="7">
        <v>0</v>
      </c>
      <c r="O122" s="3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3">
        <v>0</v>
      </c>
      <c r="V122" s="7">
        <v>0</v>
      </c>
      <c r="W122" s="7">
        <v>0</v>
      </c>
      <c r="X122" s="3">
        <v>0</v>
      </c>
      <c r="Y122" s="7">
        <v>0</v>
      </c>
    </row>
    <row r="123" spans="1:25" x14ac:dyDescent="0.25">
      <c r="A123" t="s">
        <v>25</v>
      </c>
      <c r="B123" t="s">
        <v>26</v>
      </c>
      <c r="C123" t="str">
        <f t="shared" si="25"/>
        <v>1</v>
      </c>
      <c r="D123" t="str">
        <f t="shared" si="28"/>
        <v>1</v>
      </c>
      <c r="E123" t="str">
        <f t="shared" si="31"/>
        <v>0001391</v>
      </c>
      <c r="F123" t="s">
        <v>38</v>
      </c>
      <c r="G123" t="str">
        <f t="shared" si="29"/>
        <v>12704</v>
      </c>
      <c r="H123" t="str">
        <f t="shared" si="27"/>
        <v>01</v>
      </c>
      <c r="I123" t="s">
        <v>34</v>
      </c>
      <c r="J123" t="str">
        <f t="shared" si="26"/>
        <v>1101</v>
      </c>
      <c r="K123" t="str">
        <f>"06"</f>
        <v>06</v>
      </c>
      <c r="L123" s="3">
        <v>60</v>
      </c>
      <c r="M123" s="5">
        <v>60</v>
      </c>
      <c r="N123" s="7">
        <v>60</v>
      </c>
      <c r="O123" s="3">
        <v>0</v>
      </c>
      <c r="P123" s="7">
        <v>0.99</v>
      </c>
      <c r="Q123" s="7">
        <v>0</v>
      </c>
      <c r="R123" s="7">
        <v>0</v>
      </c>
      <c r="S123" s="7">
        <v>0</v>
      </c>
      <c r="T123" s="7">
        <v>60</v>
      </c>
      <c r="U123" s="3">
        <v>0</v>
      </c>
      <c r="V123" s="7">
        <v>4.5599999999999996</v>
      </c>
      <c r="W123" s="7">
        <v>0</v>
      </c>
      <c r="X123" s="3">
        <v>0</v>
      </c>
      <c r="Y123" s="7">
        <v>0</v>
      </c>
    </row>
    <row r="124" spans="1:25" x14ac:dyDescent="0.25">
      <c r="A124" t="s">
        <v>25</v>
      </c>
      <c r="B124" t="s">
        <v>26</v>
      </c>
      <c r="C124" t="str">
        <f t="shared" si="25"/>
        <v>1</v>
      </c>
      <c r="D124" t="str">
        <f t="shared" si="28"/>
        <v>1</v>
      </c>
      <c r="E124" t="str">
        <f t="shared" si="31"/>
        <v>0001391</v>
      </c>
      <c r="F124" t="s">
        <v>38</v>
      </c>
      <c r="G124" t="str">
        <f t="shared" si="29"/>
        <v>12704</v>
      </c>
      <c r="H124" t="str">
        <f t="shared" si="27"/>
        <v>01</v>
      </c>
      <c r="I124" t="s">
        <v>34</v>
      </c>
      <c r="J124" t="str">
        <f t="shared" si="26"/>
        <v>1101</v>
      </c>
      <c r="K124" t="str">
        <f>"06"</f>
        <v>06</v>
      </c>
      <c r="L124" s="3">
        <v>100</v>
      </c>
      <c r="M124" s="5">
        <v>100</v>
      </c>
      <c r="N124" s="7">
        <v>100</v>
      </c>
      <c r="O124" s="3">
        <v>0</v>
      </c>
      <c r="P124" s="7">
        <v>1.65</v>
      </c>
      <c r="Q124" s="7">
        <v>0</v>
      </c>
      <c r="R124" s="7">
        <v>0</v>
      </c>
      <c r="S124" s="7">
        <v>0</v>
      </c>
      <c r="T124" s="7">
        <v>100</v>
      </c>
      <c r="U124" s="3">
        <v>0</v>
      </c>
      <c r="V124" s="7">
        <v>7.6</v>
      </c>
      <c r="W124" s="7">
        <v>0</v>
      </c>
      <c r="X124" s="3">
        <v>0</v>
      </c>
      <c r="Y124" s="7">
        <v>0</v>
      </c>
    </row>
    <row r="125" spans="1:25" x14ac:dyDescent="0.25">
      <c r="A125" t="s">
        <v>25</v>
      </c>
      <c r="B125" t="s">
        <v>26</v>
      </c>
      <c r="C125" t="str">
        <f t="shared" si="25"/>
        <v>1</v>
      </c>
      <c r="D125" t="str">
        <f t="shared" si="28"/>
        <v>1</v>
      </c>
      <c r="E125" t="str">
        <f t="shared" si="31"/>
        <v>0001391</v>
      </c>
      <c r="F125" t="s">
        <v>38</v>
      </c>
      <c r="G125" t="str">
        <f t="shared" si="29"/>
        <v>12704</v>
      </c>
      <c r="H125" t="str">
        <f t="shared" si="27"/>
        <v>01</v>
      </c>
      <c r="I125" t="s">
        <v>34</v>
      </c>
      <c r="J125" t="str">
        <f t="shared" si="26"/>
        <v>1101</v>
      </c>
      <c r="K125" t="str">
        <f>"06"</f>
        <v>06</v>
      </c>
      <c r="L125" s="3">
        <v>150</v>
      </c>
      <c r="M125" s="5">
        <v>150</v>
      </c>
      <c r="N125" s="7">
        <v>150</v>
      </c>
      <c r="O125" s="3">
        <v>0</v>
      </c>
      <c r="P125" s="7">
        <v>2.48</v>
      </c>
      <c r="Q125" s="7">
        <v>0</v>
      </c>
      <c r="R125" s="7">
        <v>0</v>
      </c>
      <c r="S125" s="7">
        <v>0</v>
      </c>
      <c r="T125" s="7">
        <v>150</v>
      </c>
      <c r="U125" s="3">
        <v>0</v>
      </c>
      <c r="V125" s="7">
        <v>11.4</v>
      </c>
      <c r="W125" s="7">
        <v>0</v>
      </c>
      <c r="X125" s="3">
        <v>0</v>
      </c>
      <c r="Y125" s="7">
        <v>0</v>
      </c>
    </row>
    <row r="126" spans="1:25" x14ac:dyDescent="0.25">
      <c r="A126" t="s">
        <v>25</v>
      </c>
      <c r="B126" t="s">
        <v>26</v>
      </c>
      <c r="C126" t="str">
        <f t="shared" si="25"/>
        <v>1</v>
      </c>
      <c r="D126" t="str">
        <f t="shared" si="28"/>
        <v>1</v>
      </c>
      <c r="E126" t="str">
        <f t="shared" si="31"/>
        <v>0001391</v>
      </c>
      <c r="F126" t="s">
        <v>40</v>
      </c>
      <c r="G126" t="str">
        <f t="shared" si="29"/>
        <v>12704</v>
      </c>
      <c r="H126" t="str">
        <f t="shared" si="27"/>
        <v>01</v>
      </c>
      <c r="I126" t="s">
        <v>34</v>
      </c>
      <c r="J126" t="str">
        <f t="shared" si="26"/>
        <v>1101</v>
      </c>
      <c r="K126" t="str">
        <f>"99"</f>
        <v>99</v>
      </c>
      <c r="L126" s="3">
        <v>6.93</v>
      </c>
      <c r="M126" s="5">
        <v>0</v>
      </c>
      <c r="N126" s="7">
        <v>0</v>
      </c>
      <c r="O126" s="3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3">
        <v>0</v>
      </c>
      <c r="V126" s="7">
        <v>0</v>
      </c>
      <c r="W126" s="7">
        <v>0</v>
      </c>
      <c r="X126" s="3">
        <v>0</v>
      </c>
      <c r="Y126" s="7">
        <v>0</v>
      </c>
    </row>
    <row r="127" spans="1:25" x14ac:dyDescent="0.25">
      <c r="A127" t="s">
        <v>25</v>
      </c>
      <c r="B127" t="s">
        <v>26</v>
      </c>
      <c r="C127" t="str">
        <f t="shared" si="25"/>
        <v>1</v>
      </c>
      <c r="D127" t="str">
        <f t="shared" si="28"/>
        <v>1</v>
      </c>
      <c r="E127" t="str">
        <f t="shared" si="31"/>
        <v>0001391</v>
      </c>
      <c r="F127" t="s">
        <v>40</v>
      </c>
      <c r="G127" t="str">
        <f t="shared" si="29"/>
        <v>12704</v>
      </c>
      <c r="H127" t="str">
        <f t="shared" si="27"/>
        <v>01</v>
      </c>
      <c r="I127" t="s">
        <v>39</v>
      </c>
      <c r="J127" t="str">
        <f t="shared" si="26"/>
        <v>1101</v>
      </c>
      <c r="K127" t="str">
        <f>"99"</f>
        <v>99</v>
      </c>
      <c r="L127" s="3">
        <v>9.6</v>
      </c>
      <c r="M127" s="5">
        <v>0</v>
      </c>
      <c r="N127" s="7">
        <v>0</v>
      </c>
      <c r="O127" s="3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3">
        <v>0</v>
      </c>
      <c r="V127" s="7">
        <v>0</v>
      </c>
      <c r="W127" s="7">
        <v>0</v>
      </c>
      <c r="X127" s="3">
        <v>0</v>
      </c>
      <c r="Y127" s="7">
        <v>0</v>
      </c>
    </row>
    <row r="128" spans="1:25" x14ac:dyDescent="0.25">
      <c r="A128" t="s">
        <v>25</v>
      </c>
      <c r="B128" t="s">
        <v>26</v>
      </c>
      <c r="C128" t="str">
        <f t="shared" si="25"/>
        <v>1</v>
      </c>
      <c r="D128" t="str">
        <f t="shared" si="28"/>
        <v>1</v>
      </c>
      <c r="E128" t="str">
        <f>"0001392"</f>
        <v>0001392</v>
      </c>
      <c r="F128" t="s">
        <v>40</v>
      </c>
      <c r="G128" t="str">
        <f t="shared" si="29"/>
        <v>12704</v>
      </c>
      <c r="H128" t="str">
        <f t="shared" si="27"/>
        <v>01</v>
      </c>
      <c r="I128" t="s">
        <v>34</v>
      </c>
      <c r="J128" t="str">
        <f t="shared" si="26"/>
        <v>1101</v>
      </c>
      <c r="K128" t="str">
        <f>"99"</f>
        <v>99</v>
      </c>
      <c r="L128" s="3">
        <v>7.5</v>
      </c>
      <c r="M128" s="5">
        <v>0</v>
      </c>
      <c r="N128" s="7">
        <v>0</v>
      </c>
      <c r="O128" s="3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3">
        <v>0</v>
      </c>
      <c r="V128" s="7">
        <v>0</v>
      </c>
      <c r="W128" s="7">
        <v>0</v>
      </c>
      <c r="X128" s="3">
        <v>0</v>
      </c>
      <c r="Y128" s="7">
        <v>0</v>
      </c>
    </row>
    <row r="129" spans="1:25" x14ac:dyDescent="0.25">
      <c r="A129" t="s">
        <v>25</v>
      </c>
      <c r="B129" t="s">
        <v>26</v>
      </c>
      <c r="C129" t="str">
        <f t="shared" si="25"/>
        <v>1</v>
      </c>
      <c r="D129" t="str">
        <f t="shared" si="28"/>
        <v>1</v>
      </c>
      <c r="E129" t="str">
        <f>"0001392"</f>
        <v>0001392</v>
      </c>
      <c r="F129" t="s">
        <v>40</v>
      </c>
      <c r="G129" t="str">
        <f t="shared" si="29"/>
        <v>12704</v>
      </c>
      <c r="H129" t="str">
        <f t="shared" si="27"/>
        <v>01</v>
      </c>
      <c r="I129" t="s">
        <v>34</v>
      </c>
      <c r="J129" t="str">
        <f t="shared" si="26"/>
        <v>1101</v>
      </c>
      <c r="K129" t="str">
        <f>"99"</f>
        <v>99</v>
      </c>
      <c r="L129" s="3">
        <v>5</v>
      </c>
      <c r="M129" s="5">
        <v>0</v>
      </c>
      <c r="N129" s="7">
        <v>0</v>
      </c>
      <c r="O129" s="3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3">
        <v>0</v>
      </c>
      <c r="V129" s="7">
        <v>0</v>
      </c>
      <c r="W129" s="7">
        <v>0</v>
      </c>
      <c r="X129" s="3">
        <v>0</v>
      </c>
      <c r="Y129" s="7">
        <v>0</v>
      </c>
    </row>
    <row r="130" spans="1:25" x14ac:dyDescent="0.25">
      <c r="A130" t="s">
        <v>25</v>
      </c>
      <c r="B130" t="s">
        <v>26</v>
      </c>
      <c r="C130" t="str">
        <f t="shared" si="25"/>
        <v>1</v>
      </c>
      <c r="D130" t="str">
        <f t="shared" si="28"/>
        <v>1</v>
      </c>
      <c r="E130" t="str">
        <f>"0001392"</f>
        <v>0001392</v>
      </c>
      <c r="F130" t="s">
        <v>40</v>
      </c>
      <c r="G130" t="str">
        <f t="shared" si="29"/>
        <v>12704</v>
      </c>
      <c r="H130" t="str">
        <f t="shared" si="27"/>
        <v>01</v>
      </c>
      <c r="I130" t="s">
        <v>34</v>
      </c>
      <c r="J130" t="str">
        <f t="shared" si="26"/>
        <v>1101</v>
      </c>
      <c r="K130" t="str">
        <f>"99"</f>
        <v>99</v>
      </c>
      <c r="L130" s="3">
        <v>3</v>
      </c>
      <c r="M130" s="5">
        <v>0</v>
      </c>
      <c r="N130" s="7">
        <v>0</v>
      </c>
      <c r="O130" s="3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3">
        <v>0</v>
      </c>
      <c r="V130" s="7">
        <v>0</v>
      </c>
      <c r="W130" s="7">
        <v>0</v>
      </c>
      <c r="X130" s="3">
        <v>0</v>
      </c>
      <c r="Y130" s="7">
        <v>0</v>
      </c>
    </row>
    <row r="131" spans="1:25" x14ac:dyDescent="0.25">
      <c r="A131" t="s">
        <v>25</v>
      </c>
      <c r="B131" t="s">
        <v>26</v>
      </c>
      <c r="C131" t="str">
        <f t="shared" si="25"/>
        <v>1</v>
      </c>
      <c r="D131" t="str">
        <f t="shared" si="28"/>
        <v>1</v>
      </c>
      <c r="E131" t="str">
        <f>"0001394"</f>
        <v>0001394</v>
      </c>
      <c r="F131" t="s">
        <v>38</v>
      </c>
      <c r="G131" t="str">
        <f t="shared" si="29"/>
        <v>12704</v>
      </c>
      <c r="H131" t="str">
        <f t="shared" si="27"/>
        <v>01</v>
      </c>
      <c r="I131" t="s">
        <v>34</v>
      </c>
      <c r="J131" t="str">
        <f t="shared" si="26"/>
        <v>1101</v>
      </c>
      <c r="K131" t="str">
        <f>"06"</f>
        <v>06</v>
      </c>
      <c r="L131" s="3">
        <v>54</v>
      </c>
      <c r="M131" s="5">
        <v>54</v>
      </c>
      <c r="N131" s="7">
        <v>54</v>
      </c>
      <c r="O131" s="3">
        <v>0</v>
      </c>
      <c r="P131" s="7">
        <v>0.89</v>
      </c>
      <c r="Q131" s="7">
        <v>0</v>
      </c>
      <c r="R131" s="7">
        <v>0</v>
      </c>
      <c r="S131" s="7">
        <v>0</v>
      </c>
      <c r="T131" s="7">
        <v>54</v>
      </c>
      <c r="U131" s="3">
        <v>0</v>
      </c>
      <c r="V131" s="7">
        <v>4.0999999999999996</v>
      </c>
      <c r="W131" s="7">
        <v>0</v>
      </c>
      <c r="X131" s="3">
        <v>0</v>
      </c>
      <c r="Y131" s="7">
        <v>0</v>
      </c>
    </row>
    <row r="132" spans="1:25" x14ac:dyDescent="0.25">
      <c r="A132" t="s">
        <v>25</v>
      </c>
      <c r="B132" t="s">
        <v>26</v>
      </c>
      <c r="C132" t="str">
        <f t="shared" si="25"/>
        <v>1</v>
      </c>
      <c r="D132" t="str">
        <f t="shared" si="28"/>
        <v>1</v>
      </c>
      <c r="E132" t="str">
        <f>"0001394"</f>
        <v>0001394</v>
      </c>
      <c r="F132" t="s">
        <v>38</v>
      </c>
      <c r="G132" t="str">
        <f t="shared" si="29"/>
        <v>12704</v>
      </c>
      <c r="H132" t="str">
        <f t="shared" si="27"/>
        <v>01</v>
      </c>
      <c r="I132" t="s">
        <v>34</v>
      </c>
      <c r="J132" t="str">
        <f t="shared" si="26"/>
        <v>1101</v>
      </c>
      <c r="K132" t="str">
        <f>"06"</f>
        <v>06</v>
      </c>
      <c r="L132" s="3">
        <v>80</v>
      </c>
      <c r="M132" s="5">
        <v>80</v>
      </c>
      <c r="N132" s="7">
        <v>80</v>
      </c>
      <c r="O132" s="3">
        <v>0</v>
      </c>
      <c r="P132" s="7">
        <v>1.32</v>
      </c>
      <c r="Q132" s="7">
        <v>0</v>
      </c>
      <c r="R132" s="7">
        <v>0</v>
      </c>
      <c r="S132" s="7">
        <v>0</v>
      </c>
      <c r="T132" s="7">
        <v>80</v>
      </c>
      <c r="U132" s="3">
        <v>0</v>
      </c>
      <c r="V132" s="7">
        <v>6.08</v>
      </c>
      <c r="W132" s="7">
        <v>0</v>
      </c>
      <c r="X132" s="3">
        <v>0</v>
      </c>
      <c r="Y132" s="7">
        <v>0</v>
      </c>
    </row>
    <row r="133" spans="1:25" x14ac:dyDescent="0.25">
      <c r="A133" t="s">
        <v>25</v>
      </c>
      <c r="B133" t="s">
        <v>26</v>
      </c>
      <c r="C133" t="str">
        <f t="shared" si="25"/>
        <v>1</v>
      </c>
      <c r="D133" t="str">
        <f t="shared" si="28"/>
        <v>1</v>
      </c>
      <c r="E133" t="str">
        <f>"0001394"</f>
        <v>0001394</v>
      </c>
      <c r="F133" t="s">
        <v>38</v>
      </c>
      <c r="G133" t="str">
        <f t="shared" si="29"/>
        <v>12704</v>
      </c>
      <c r="H133" t="str">
        <f t="shared" si="27"/>
        <v>01</v>
      </c>
      <c r="I133" t="s">
        <v>34</v>
      </c>
      <c r="J133" t="str">
        <f t="shared" si="26"/>
        <v>1101</v>
      </c>
      <c r="K133" t="str">
        <f>"06"</f>
        <v>06</v>
      </c>
      <c r="L133" s="3">
        <v>68</v>
      </c>
      <c r="M133" s="5">
        <v>68</v>
      </c>
      <c r="N133" s="7">
        <v>68</v>
      </c>
      <c r="O133" s="3">
        <v>0</v>
      </c>
      <c r="P133" s="7">
        <v>1.1200000000000001</v>
      </c>
      <c r="Q133" s="7">
        <v>0</v>
      </c>
      <c r="R133" s="7">
        <v>0</v>
      </c>
      <c r="S133" s="7">
        <v>0</v>
      </c>
      <c r="T133" s="7">
        <v>68</v>
      </c>
      <c r="U133" s="3">
        <v>0</v>
      </c>
      <c r="V133" s="7">
        <v>5.17</v>
      </c>
      <c r="W133" s="7">
        <v>0</v>
      </c>
      <c r="X133" s="3">
        <v>0</v>
      </c>
      <c r="Y133" s="7">
        <v>0</v>
      </c>
    </row>
    <row r="134" spans="1:25" x14ac:dyDescent="0.25">
      <c r="A134" t="s">
        <v>25</v>
      </c>
      <c r="B134" t="s">
        <v>26</v>
      </c>
      <c r="C134" t="str">
        <f t="shared" si="25"/>
        <v>1</v>
      </c>
      <c r="D134" t="str">
        <f t="shared" si="28"/>
        <v>1</v>
      </c>
      <c r="E134" t="str">
        <f>"0001396"</f>
        <v>0001396</v>
      </c>
      <c r="F134" t="s">
        <v>38</v>
      </c>
      <c r="G134" t="str">
        <f t="shared" si="29"/>
        <v>12704</v>
      </c>
      <c r="H134" t="str">
        <f t="shared" si="27"/>
        <v>01</v>
      </c>
      <c r="I134" t="s">
        <v>34</v>
      </c>
      <c r="J134" t="str">
        <f t="shared" si="26"/>
        <v>1101</v>
      </c>
      <c r="K134" t="str">
        <f>"06"</f>
        <v>06</v>
      </c>
      <c r="L134" s="3">
        <v>100</v>
      </c>
      <c r="M134" s="5">
        <v>100</v>
      </c>
      <c r="N134" s="7">
        <v>100</v>
      </c>
      <c r="O134" s="3">
        <v>0</v>
      </c>
      <c r="P134" s="7">
        <v>1.65</v>
      </c>
      <c r="Q134" s="7">
        <v>0</v>
      </c>
      <c r="R134" s="7">
        <v>0</v>
      </c>
      <c r="S134" s="7">
        <v>0</v>
      </c>
      <c r="T134" s="7">
        <v>100</v>
      </c>
      <c r="U134" s="3">
        <v>0</v>
      </c>
      <c r="V134" s="7">
        <v>7.6</v>
      </c>
      <c r="W134" s="7">
        <v>0</v>
      </c>
      <c r="X134" s="3">
        <v>0</v>
      </c>
      <c r="Y134" s="7">
        <v>0</v>
      </c>
    </row>
    <row r="135" spans="1:25" x14ac:dyDescent="0.25">
      <c r="A135" t="s">
        <v>25</v>
      </c>
      <c r="B135" t="s">
        <v>26</v>
      </c>
      <c r="C135" t="str">
        <f t="shared" si="25"/>
        <v>1</v>
      </c>
      <c r="D135" t="str">
        <f t="shared" si="28"/>
        <v>1</v>
      </c>
      <c r="E135" t="str">
        <f>"0001396"</f>
        <v>0001396</v>
      </c>
      <c r="F135" t="s">
        <v>38</v>
      </c>
      <c r="G135" t="str">
        <f t="shared" si="29"/>
        <v>12704</v>
      </c>
      <c r="H135" t="str">
        <f t="shared" si="27"/>
        <v>01</v>
      </c>
      <c r="I135" t="s">
        <v>34</v>
      </c>
      <c r="J135" t="str">
        <f t="shared" si="26"/>
        <v>1101</v>
      </c>
      <c r="K135" t="str">
        <f>"06"</f>
        <v>06</v>
      </c>
      <c r="L135" s="3">
        <v>100</v>
      </c>
      <c r="M135" s="5">
        <v>100</v>
      </c>
      <c r="N135" s="7">
        <v>100</v>
      </c>
      <c r="O135" s="3">
        <v>0</v>
      </c>
      <c r="P135" s="7">
        <v>1.65</v>
      </c>
      <c r="Q135" s="7">
        <v>0</v>
      </c>
      <c r="R135" s="7">
        <v>0</v>
      </c>
      <c r="S135" s="7">
        <v>0</v>
      </c>
      <c r="T135" s="7">
        <v>100</v>
      </c>
      <c r="U135" s="3">
        <v>0</v>
      </c>
      <c r="V135" s="7">
        <v>7.6</v>
      </c>
      <c r="W135" s="7">
        <v>0</v>
      </c>
      <c r="X135" s="3">
        <v>0</v>
      </c>
      <c r="Y135" s="7">
        <v>0</v>
      </c>
    </row>
    <row r="136" spans="1:25" x14ac:dyDescent="0.25">
      <c r="A136" t="s">
        <v>25</v>
      </c>
      <c r="B136" t="s">
        <v>26</v>
      </c>
      <c r="C136" t="str">
        <f t="shared" si="25"/>
        <v>1</v>
      </c>
      <c r="D136" t="str">
        <f t="shared" si="28"/>
        <v>1</v>
      </c>
      <c r="E136" t="str">
        <f>"0001397"</f>
        <v>0001397</v>
      </c>
      <c r="F136" t="s">
        <v>40</v>
      </c>
      <c r="G136" t="str">
        <f t="shared" si="29"/>
        <v>12704</v>
      </c>
      <c r="H136" t="str">
        <f t="shared" si="27"/>
        <v>01</v>
      </c>
      <c r="I136" t="s">
        <v>34</v>
      </c>
      <c r="J136" t="str">
        <f t="shared" si="26"/>
        <v>1101</v>
      </c>
      <c r="K136" t="str">
        <f>"99"</f>
        <v>99</v>
      </c>
      <c r="L136" s="3">
        <v>5</v>
      </c>
      <c r="M136" s="5">
        <v>0</v>
      </c>
      <c r="N136" s="7">
        <v>0</v>
      </c>
      <c r="O136" s="3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3">
        <v>0</v>
      </c>
      <c r="V136" s="7">
        <v>0</v>
      </c>
      <c r="W136" s="7">
        <v>0</v>
      </c>
      <c r="X136" s="3">
        <v>0</v>
      </c>
      <c r="Y136" s="7">
        <v>0</v>
      </c>
    </row>
    <row r="137" spans="1:25" x14ac:dyDescent="0.25">
      <c r="A137" t="s">
        <v>25</v>
      </c>
      <c r="B137" t="s">
        <v>26</v>
      </c>
      <c r="C137" t="str">
        <f t="shared" si="25"/>
        <v>1</v>
      </c>
      <c r="D137" t="str">
        <f t="shared" si="28"/>
        <v>1</v>
      </c>
      <c r="E137" t="str">
        <f>"0001397"</f>
        <v>0001397</v>
      </c>
      <c r="F137" t="s">
        <v>40</v>
      </c>
      <c r="G137" t="str">
        <f t="shared" si="29"/>
        <v>12704</v>
      </c>
      <c r="H137" t="str">
        <f t="shared" si="27"/>
        <v>01</v>
      </c>
      <c r="I137" t="s">
        <v>34</v>
      </c>
      <c r="J137" t="str">
        <f t="shared" si="26"/>
        <v>1101</v>
      </c>
      <c r="K137" t="str">
        <f>"99"</f>
        <v>99</v>
      </c>
      <c r="L137" s="3">
        <v>5</v>
      </c>
      <c r="M137" s="5">
        <v>0</v>
      </c>
      <c r="N137" s="7">
        <v>0</v>
      </c>
      <c r="O137" s="3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3">
        <v>0</v>
      </c>
      <c r="V137" s="7">
        <v>0</v>
      </c>
      <c r="W137" s="7">
        <v>0</v>
      </c>
      <c r="X137" s="3">
        <v>0</v>
      </c>
      <c r="Y137" s="7">
        <v>0</v>
      </c>
    </row>
    <row r="138" spans="1:25" x14ac:dyDescent="0.25">
      <c r="A138" t="s">
        <v>25</v>
      </c>
      <c r="B138" t="s">
        <v>26</v>
      </c>
      <c r="C138" t="str">
        <f t="shared" ref="C138:C169" si="32">"1"</f>
        <v>1</v>
      </c>
      <c r="D138" t="str">
        <f t="shared" si="28"/>
        <v>1</v>
      </c>
      <c r="E138" t="str">
        <f>"0001399"</f>
        <v>0001399</v>
      </c>
      <c r="F138" t="s">
        <v>38</v>
      </c>
      <c r="G138" t="str">
        <f t="shared" si="29"/>
        <v>12704</v>
      </c>
      <c r="H138" t="str">
        <f t="shared" si="27"/>
        <v>01</v>
      </c>
      <c r="I138" t="s">
        <v>34</v>
      </c>
      <c r="J138" t="str">
        <f t="shared" ref="J138:J169" si="33">"1101"</f>
        <v>1101</v>
      </c>
      <c r="K138" t="str">
        <f>"06"</f>
        <v>06</v>
      </c>
      <c r="L138" s="3">
        <v>50</v>
      </c>
      <c r="M138" s="5">
        <v>50</v>
      </c>
      <c r="N138" s="7">
        <v>50</v>
      </c>
      <c r="O138" s="3">
        <v>0</v>
      </c>
      <c r="P138" s="7">
        <v>0.83</v>
      </c>
      <c r="Q138" s="7">
        <v>0</v>
      </c>
      <c r="R138" s="7">
        <v>0</v>
      </c>
      <c r="S138" s="7">
        <v>0</v>
      </c>
      <c r="T138" s="7">
        <v>50</v>
      </c>
      <c r="U138" s="3">
        <v>0</v>
      </c>
      <c r="V138" s="7">
        <v>3.8</v>
      </c>
      <c r="W138" s="7">
        <v>0</v>
      </c>
      <c r="X138" s="3">
        <v>0</v>
      </c>
      <c r="Y138" s="7">
        <v>0</v>
      </c>
    </row>
    <row r="139" spans="1:25" x14ac:dyDescent="0.25">
      <c r="A139" t="s">
        <v>25</v>
      </c>
      <c r="B139" t="s">
        <v>26</v>
      </c>
      <c r="C139" t="str">
        <f t="shared" si="32"/>
        <v>1</v>
      </c>
      <c r="D139" t="str">
        <f t="shared" si="28"/>
        <v>1</v>
      </c>
      <c r="E139" t="str">
        <f>"0001399"</f>
        <v>0001399</v>
      </c>
      <c r="F139" t="s">
        <v>38</v>
      </c>
      <c r="G139" t="str">
        <f t="shared" si="29"/>
        <v>12704</v>
      </c>
      <c r="H139" t="str">
        <f t="shared" ref="H139:H170" si="34">"01"</f>
        <v>01</v>
      </c>
      <c r="I139" t="s">
        <v>34</v>
      </c>
      <c r="J139" t="str">
        <f t="shared" si="33"/>
        <v>1101</v>
      </c>
      <c r="K139" t="str">
        <f>"06"</f>
        <v>06</v>
      </c>
      <c r="L139" s="3">
        <v>90</v>
      </c>
      <c r="M139" s="5">
        <v>90</v>
      </c>
      <c r="N139" s="7">
        <v>90</v>
      </c>
      <c r="O139" s="3">
        <v>0</v>
      </c>
      <c r="P139" s="7">
        <v>1.49</v>
      </c>
      <c r="Q139" s="7">
        <v>0</v>
      </c>
      <c r="R139" s="7">
        <v>0</v>
      </c>
      <c r="S139" s="7">
        <v>0</v>
      </c>
      <c r="T139" s="7">
        <v>90</v>
      </c>
      <c r="U139" s="3">
        <v>0</v>
      </c>
      <c r="V139" s="7">
        <v>6.84</v>
      </c>
      <c r="W139" s="7">
        <v>0</v>
      </c>
      <c r="X139" s="3">
        <v>0</v>
      </c>
      <c r="Y139" s="7">
        <v>0</v>
      </c>
    </row>
    <row r="140" spans="1:25" x14ac:dyDescent="0.25">
      <c r="A140" t="s">
        <v>25</v>
      </c>
      <c r="B140" t="s">
        <v>26</v>
      </c>
      <c r="C140" t="str">
        <f t="shared" si="32"/>
        <v>1</v>
      </c>
      <c r="D140" t="str">
        <f t="shared" si="28"/>
        <v>1</v>
      </c>
      <c r="E140" t="str">
        <f>"0001400"</f>
        <v>0001400</v>
      </c>
      <c r="F140" t="s">
        <v>40</v>
      </c>
      <c r="G140" t="str">
        <f t="shared" si="29"/>
        <v>12704</v>
      </c>
      <c r="H140" t="str">
        <f t="shared" si="34"/>
        <v>01</v>
      </c>
      <c r="I140" t="s">
        <v>34</v>
      </c>
      <c r="J140" t="str">
        <f t="shared" si="33"/>
        <v>1101</v>
      </c>
      <c r="K140" t="str">
        <f>"99"</f>
        <v>99</v>
      </c>
      <c r="L140" s="3">
        <v>2.5</v>
      </c>
      <c r="M140" s="5">
        <v>0</v>
      </c>
      <c r="N140" s="7">
        <v>0</v>
      </c>
      <c r="O140" s="3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3">
        <v>0</v>
      </c>
      <c r="V140" s="7">
        <v>0</v>
      </c>
      <c r="W140" s="7">
        <v>0</v>
      </c>
      <c r="X140" s="3">
        <v>0</v>
      </c>
      <c r="Y140" s="7">
        <v>0</v>
      </c>
    </row>
    <row r="141" spans="1:25" x14ac:dyDescent="0.25">
      <c r="A141" t="s">
        <v>25</v>
      </c>
      <c r="B141" t="s">
        <v>26</v>
      </c>
      <c r="C141" t="str">
        <f t="shared" si="32"/>
        <v>1</v>
      </c>
      <c r="D141" t="str">
        <f t="shared" si="28"/>
        <v>1</v>
      </c>
      <c r="E141" t="str">
        <f>"0001400"</f>
        <v>0001400</v>
      </c>
      <c r="F141" t="s">
        <v>40</v>
      </c>
      <c r="G141" t="str">
        <f t="shared" si="29"/>
        <v>12704</v>
      </c>
      <c r="H141" t="str">
        <f t="shared" si="34"/>
        <v>01</v>
      </c>
      <c r="I141" t="s">
        <v>34</v>
      </c>
      <c r="J141" t="str">
        <f t="shared" si="33"/>
        <v>1101</v>
      </c>
      <c r="K141" t="str">
        <f>"99"</f>
        <v>99</v>
      </c>
      <c r="L141" s="3">
        <v>4.5</v>
      </c>
      <c r="M141" s="5">
        <v>0</v>
      </c>
      <c r="N141" s="7">
        <v>0</v>
      </c>
      <c r="O141" s="3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3">
        <v>0</v>
      </c>
      <c r="V141" s="7">
        <v>0</v>
      </c>
      <c r="W141" s="7">
        <v>0</v>
      </c>
      <c r="X141" s="3">
        <v>0</v>
      </c>
      <c r="Y141" s="7">
        <v>0</v>
      </c>
    </row>
    <row r="142" spans="1:25" x14ac:dyDescent="0.25">
      <c r="A142" t="s">
        <v>25</v>
      </c>
      <c r="B142" t="s">
        <v>26</v>
      </c>
      <c r="C142" t="str">
        <f t="shared" si="32"/>
        <v>1</v>
      </c>
      <c r="D142" t="str">
        <f t="shared" si="28"/>
        <v>1</v>
      </c>
      <c r="E142" t="str">
        <f>"0001401"</f>
        <v>0001401</v>
      </c>
      <c r="F142" t="s">
        <v>38</v>
      </c>
      <c r="G142" t="str">
        <f t="shared" si="29"/>
        <v>12704</v>
      </c>
      <c r="H142" t="str">
        <f t="shared" si="34"/>
        <v>01</v>
      </c>
      <c r="I142" t="s">
        <v>34</v>
      </c>
      <c r="J142" t="str">
        <f t="shared" si="33"/>
        <v>1101</v>
      </c>
      <c r="K142" t="str">
        <f>"06"</f>
        <v>06</v>
      </c>
      <c r="L142" s="3">
        <v>60</v>
      </c>
      <c r="M142" s="5">
        <v>60</v>
      </c>
      <c r="N142" s="7">
        <v>60</v>
      </c>
      <c r="O142" s="3">
        <v>0</v>
      </c>
      <c r="P142" s="7">
        <v>0.99</v>
      </c>
      <c r="Q142" s="7">
        <v>0</v>
      </c>
      <c r="R142" s="7">
        <v>0</v>
      </c>
      <c r="S142" s="7">
        <v>0</v>
      </c>
      <c r="T142" s="7">
        <v>60</v>
      </c>
      <c r="U142" s="3">
        <v>0</v>
      </c>
      <c r="V142" s="7">
        <v>4.5599999999999996</v>
      </c>
      <c r="W142" s="7">
        <v>0</v>
      </c>
      <c r="X142" s="3">
        <v>0</v>
      </c>
      <c r="Y142" s="7">
        <v>0</v>
      </c>
    </row>
    <row r="143" spans="1:25" x14ac:dyDescent="0.25">
      <c r="A143" t="s">
        <v>25</v>
      </c>
      <c r="B143" t="s">
        <v>26</v>
      </c>
      <c r="C143" t="str">
        <f t="shared" si="32"/>
        <v>1</v>
      </c>
      <c r="D143" t="str">
        <f t="shared" si="28"/>
        <v>1</v>
      </c>
      <c r="E143" t="str">
        <f>"0001401"</f>
        <v>0001401</v>
      </c>
      <c r="F143" t="s">
        <v>38</v>
      </c>
      <c r="G143" t="str">
        <f t="shared" si="29"/>
        <v>12704</v>
      </c>
      <c r="H143" t="str">
        <f t="shared" si="34"/>
        <v>01</v>
      </c>
      <c r="I143" t="s">
        <v>34</v>
      </c>
      <c r="J143" t="str">
        <f t="shared" si="33"/>
        <v>1101</v>
      </c>
      <c r="K143" t="str">
        <f>"06"</f>
        <v>06</v>
      </c>
      <c r="L143" s="3">
        <v>100</v>
      </c>
      <c r="M143" s="5">
        <v>100</v>
      </c>
      <c r="N143" s="7">
        <v>100</v>
      </c>
      <c r="O143" s="3">
        <v>0</v>
      </c>
      <c r="P143" s="7">
        <v>1.65</v>
      </c>
      <c r="Q143" s="7">
        <v>0</v>
      </c>
      <c r="R143" s="7">
        <v>0</v>
      </c>
      <c r="S143" s="7">
        <v>0</v>
      </c>
      <c r="T143" s="7">
        <v>100</v>
      </c>
      <c r="U143" s="3">
        <v>0</v>
      </c>
      <c r="V143" s="7">
        <v>7.6</v>
      </c>
      <c r="W143" s="7">
        <v>0</v>
      </c>
      <c r="X143" s="3">
        <v>0</v>
      </c>
      <c r="Y143" s="7">
        <v>0</v>
      </c>
    </row>
    <row r="144" spans="1:25" x14ac:dyDescent="0.25">
      <c r="A144" t="s">
        <v>25</v>
      </c>
      <c r="B144" t="s">
        <v>26</v>
      </c>
      <c r="C144" t="str">
        <f t="shared" si="32"/>
        <v>1</v>
      </c>
      <c r="D144" t="str">
        <f t="shared" si="28"/>
        <v>1</v>
      </c>
      <c r="E144" t="str">
        <f>"0001401"</f>
        <v>0001401</v>
      </c>
      <c r="F144" t="s">
        <v>38</v>
      </c>
      <c r="G144" t="str">
        <f t="shared" si="29"/>
        <v>12704</v>
      </c>
      <c r="H144" t="str">
        <f t="shared" si="34"/>
        <v>01</v>
      </c>
      <c r="I144" t="s">
        <v>34</v>
      </c>
      <c r="J144" t="str">
        <f t="shared" si="33"/>
        <v>1101</v>
      </c>
      <c r="K144" t="str">
        <f>"06"</f>
        <v>06</v>
      </c>
      <c r="L144" s="3">
        <v>150</v>
      </c>
      <c r="M144" s="5">
        <v>150</v>
      </c>
      <c r="N144" s="7">
        <v>150</v>
      </c>
      <c r="O144" s="3">
        <v>0</v>
      </c>
      <c r="P144" s="7">
        <v>2.48</v>
      </c>
      <c r="Q144" s="7">
        <v>0</v>
      </c>
      <c r="R144" s="7">
        <v>0</v>
      </c>
      <c r="S144" s="7">
        <v>0</v>
      </c>
      <c r="T144" s="7">
        <v>150</v>
      </c>
      <c r="U144" s="3">
        <v>0</v>
      </c>
      <c r="V144" s="7">
        <v>11.4</v>
      </c>
      <c r="W144" s="7">
        <v>0</v>
      </c>
      <c r="X144" s="3">
        <v>0</v>
      </c>
      <c r="Y144" s="7">
        <v>0</v>
      </c>
    </row>
    <row r="145" spans="1:25" x14ac:dyDescent="0.25">
      <c r="A145" t="s">
        <v>25</v>
      </c>
      <c r="B145" t="s">
        <v>26</v>
      </c>
      <c r="C145" t="str">
        <f t="shared" si="32"/>
        <v>1</v>
      </c>
      <c r="D145" t="str">
        <f t="shared" ref="D145:D176" si="35">"1"</f>
        <v>1</v>
      </c>
      <c r="E145" t="str">
        <f>"0001402"</f>
        <v>0001402</v>
      </c>
      <c r="F145" t="s">
        <v>40</v>
      </c>
      <c r="G145" t="str">
        <f t="shared" ref="G145:G176" si="36">"12704"</f>
        <v>12704</v>
      </c>
      <c r="H145" t="str">
        <f t="shared" si="34"/>
        <v>01</v>
      </c>
      <c r="I145" t="s">
        <v>34</v>
      </c>
      <c r="J145" t="str">
        <f t="shared" si="33"/>
        <v>1101</v>
      </c>
      <c r="K145" t="str">
        <f>"99"</f>
        <v>99</v>
      </c>
      <c r="L145" s="3">
        <v>3</v>
      </c>
      <c r="M145" s="5">
        <v>0</v>
      </c>
      <c r="N145" s="7">
        <v>0</v>
      </c>
      <c r="O145" s="3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3">
        <v>0</v>
      </c>
      <c r="V145" s="7">
        <v>0</v>
      </c>
      <c r="W145" s="7">
        <v>0</v>
      </c>
      <c r="X145" s="3">
        <v>0</v>
      </c>
      <c r="Y145" s="7">
        <v>0</v>
      </c>
    </row>
    <row r="146" spans="1:25" x14ac:dyDescent="0.25">
      <c r="A146" t="s">
        <v>25</v>
      </c>
      <c r="B146" t="s">
        <v>26</v>
      </c>
      <c r="C146" t="str">
        <f t="shared" si="32"/>
        <v>1</v>
      </c>
      <c r="D146" t="str">
        <f t="shared" si="35"/>
        <v>1</v>
      </c>
      <c r="E146" t="str">
        <f>"0001402"</f>
        <v>0001402</v>
      </c>
      <c r="F146" t="s">
        <v>40</v>
      </c>
      <c r="G146" t="str">
        <f t="shared" si="36"/>
        <v>12704</v>
      </c>
      <c r="H146" t="str">
        <f t="shared" si="34"/>
        <v>01</v>
      </c>
      <c r="I146" t="s">
        <v>34</v>
      </c>
      <c r="J146" t="str">
        <f t="shared" si="33"/>
        <v>1101</v>
      </c>
      <c r="K146" t="str">
        <f>"99"</f>
        <v>99</v>
      </c>
      <c r="L146" s="3">
        <v>7.5</v>
      </c>
      <c r="M146" s="5">
        <v>0</v>
      </c>
      <c r="N146" s="7">
        <v>0</v>
      </c>
      <c r="O146" s="3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3">
        <v>0</v>
      </c>
      <c r="V146" s="7">
        <v>0</v>
      </c>
      <c r="W146" s="7">
        <v>0</v>
      </c>
      <c r="X146" s="3">
        <v>0</v>
      </c>
      <c r="Y146" s="7">
        <v>0</v>
      </c>
    </row>
    <row r="147" spans="1:25" x14ac:dyDescent="0.25">
      <c r="A147" t="s">
        <v>25</v>
      </c>
      <c r="B147" t="s">
        <v>26</v>
      </c>
      <c r="C147" t="str">
        <f t="shared" si="32"/>
        <v>1</v>
      </c>
      <c r="D147" t="str">
        <f t="shared" si="35"/>
        <v>1</v>
      </c>
      <c r="E147" t="str">
        <f>"0001402"</f>
        <v>0001402</v>
      </c>
      <c r="F147" t="s">
        <v>40</v>
      </c>
      <c r="G147" t="str">
        <f t="shared" si="36"/>
        <v>12704</v>
      </c>
      <c r="H147" t="str">
        <f t="shared" si="34"/>
        <v>01</v>
      </c>
      <c r="I147" t="s">
        <v>34</v>
      </c>
      <c r="J147" t="str">
        <f t="shared" si="33"/>
        <v>1101</v>
      </c>
      <c r="K147" t="str">
        <f>"99"</f>
        <v>99</v>
      </c>
      <c r="L147" s="3">
        <v>5</v>
      </c>
      <c r="M147" s="5">
        <v>0</v>
      </c>
      <c r="N147" s="7">
        <v>0</v>
      </c>
      <c r="O147" s="3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3">
        <v>0</v>
      </c>
      <c r="V147" s="7">
        <v>0</v>
      </c>
      <c r="W147" s="7">
        <v>0</v>
      </c>
      <c r="X147" s="3">
        <v>0</v>
      </c>
      <c r="Y147" s="7">
        <v>0</v>
      </c>
    </row>
    <row r="148" spans="1:25" x14ac:dyDescent="0.25">
      <c r="A148" t="s">
        <v>25</v>
      </c>
      <c r="B148" t="s">
        <v>26</v>
      </c>
      <c r="C148" t="str">
        <f t="shared" si="32"/>
        <v>1</v>
      </c>
      <c r="D148" t="str">
        <f t="shared" si="35"/>
        <v>1</v>
      </c>
      <c r="E148" t="str">
        <f>"0001403"</f>
        <v>0001403</v>
      </c>
      <c r="F148" t="s">
        <v>38</v>
      </c>
      <c r="G148" t="str">
        <f t="shared" si="36"/>
        <v>12704</v>
      </c>
      <c r="H148" t="str">
        <f t="shared" si="34"/>
        <v>01</v>
      </c>
      <c r="I148" t="s">
        <v>34</v>
      </c>
      <c r="J148" t="str">
        <f t="shared" si="33"/>
        <v>1101</v>
      </c>
      <c r="K148" t="str">
        <f t="shared" ref="K148:K155" si="37">"06"</f>
        <v>06</v>
      </c>
      <c r="L148" s="3">
        <v>300</v>
      </c>
      <c r="M148" s="5">
        <v>300</v>
      </c>
      <c r="N148" s="7">
        <v>300</v>
      </c>
      <c r="O148" s="3">
        <v>0</v>
      </c>
      <c r="P148" s="7">
        <v>4.95</v>
      </c>
      <c r="Q148" s="7">
        <v>0</v>
      </c>
      <c r="R148" s="7">
        <v>0</v>
      </c>
      <c r="S148" s="7">
        <v>0</v>
      </c>
      <c r="T148" s="7">
        <v>300</v>
      </c>
      <c r="U148" s="3">
        <v>0</v>
      </c>
      <c r="V148" s="7">
        <v>22.8</v>
      </c>
      <c r="W148" s="7">
        <v>0</v>
      </c>
      <c r="X148" s="3">
        <v>0</v>
      </c>
      <c r="Y148" s="7">
        <v>0</v>
      </c>
    </row>
    <row r="149" spans="1:25" x14ac:dyDescent="0.25">
      <c r="A149" t="s">
        <v>25</v>
      </c>
      <c r="B149" t="s">
        <v>26</v>
      </c>
      <c r="C149" t="str">
        <f t="shared" si="32"/>
        <v>1</v>
      </c>
      <c r="D149" t="str">
        <f t="shared" si="35"/>
        <v>1</v>
      </c>
      <c r="E149" t="str">
        <f>"0001405"</f>
        <v>0001405</v>
      </c>
      <c r="F149" t="s">
        <v>36</v>
      </c>
      <c r="G149" t="str">
        <f t="shared" si="36"/>
        <v>12704</v>
      </c>
      <c r="H149" t="str">
        <f t="shared" si="34"/>
        <v>01</v>
      </c>
      <c r="I149" t="s">
        <v>34</v>
      </c>
      <c r="J149" t="str">
        <f t="shared" si="33"/>
        <v>1101</v>
      </c>
      <c r="K149" t="str">
        <f t="shared" si="37"/>
        <v>06</v>
      </c>
      <c r="L149" s="3">
        <v>240</v>
      </c>
      <c r="M149" s="5">
        <v>240</v>
      </c>
      <c r="N149" s="7">
        <v>240</v>
      </c>
      <c r="O149" s="3">
        <v>0</v>
      </c>
      <c r="P149" s="7">
        <v>3.96</v>
      </c>
      <c r="Q149" s="7">
        <v>0</v>
      </c>
      <c r="R149" s="7">
        <v>0</v>
      </c>
      <c r="S149" s="7">
        <v>0</v>
      </c>
      <c r="T149" s="7">
        <v>240</v>
      </c>
      <c r="U149" s="3">
        <v>0</v>
      </c>
      <c r="V149" s="7">
        <v>18.239999999999998</v>
      </c>
      <c r="W149" s="7">
        <v>0</v>
      </c>
      <c r="X149" s="3">
        <v>0</v>
      </c>
      <c r="Y149" s="7">
        <v>0</v>
      </c>
    </row>
    <row r="150" spans="1:25" x14ac:dyDescent="0.25">
      <c r="A150" t="s">
        <v>25</v>
      </c>
      <c r="B150" t="s">
        <v>26</v>
      </c>
      <c r="C150" t="str">
        <f t="shared" si="32"/>
        <v>1</v>
      </c>
      <c r="D150" t="str">
        <f t="shared" si="35"/>
        <v>1</v>
      </c>
      <c r="E150" t="str">
        <f>"0001412"</f>
        <v>0001412</v>
      </c>
      <c r="F150" t="str">
        <f>"11111"</f>
        <v>11111</v>
      </c>
      <c r="G150" t="str">
        <f t="shared" si="36"/>
        <v>12704</v>
      </c>
      <c r="H150" t="str">
        <f t="shared" si="34"/>
        <v>01</v>
      </c>
      <c r="I150" t="s">
        <v>34</v>
      </c>
      <c r="J150" t="str">
        <f t="shared" si="33"/>
        <v>1101</v>
      </c>
      <c r="K150" t="str">
        <f t="shared" si="37"/>
        <v>06</v>
      </c>
      <c r="L150" s="3">
        <v>1050</v>
      </c>
      <c r="M150" s="5">
        <v>1000</v>
      </c>
      <c r="N150" s="7">
        <v>1000</v>
      </c>
      <c r="O150" s="3">
        <v>0</v>
      </c>
      <c r="P150" s="7">
        <v>16.5</v>
      </c>
      <c r="Q150" s="7">
        <v>0</v>
      </c>
      <c r="R150" s="7">
        <v>0</v>
      </c>
      <c r="S150" s="7">
        <v>0</v>
      </c>
      <c r="T150" s="7">
        <v>1000</v>
      </c>
      <c r="U150" s="3">
        <v>0</v>
      </c>
      <c r="V150" s="7">
        <v>76</v>
      </c>
      <c r="W150" s="7">
        <v>0</v>
      </c>
      <c r="X150" s="3">
        <v>0</v>
      </c>
      <c r="Y150" s="7">
        <v>0</v>
      </c>
    </row>
    <row r="151" spans="1:25" x14ac:dyDescent="0.25">
      <c r="A151" t="s">
        <v>25</v>
      </c>
      <c r="B151" t="s">
        <v>26</v>
      </c>
      <c r="C151" t="str">
        <f t="shared" si="32"/>
        <v>1</v>
      </c>
      <c r="D151" t="str">
        <f t="shared" si="35"/>
        <v>1</v>
      </c>
      <c r="E151" t="str">
        <f>"0001413"</f>
        <v>0001413</v>
      </c>
      <c r="F151" t="s">
        <v>38</v>
      </c>
      <c r="G151" t="str">
        <f t="shared" si="36"/>
        <v>12704</v>
      </c>
      <c r="H151" t="str">
        <f t="shared" si="34"/>
        <v>01</v>
      </c>
      <c r="I151" t="s">
        <v>34</v>
      </c>
      <c r="J151" t="str">
        <f t="shared" si="33"/>
        <v>1101</v>
      </c>
      <c r="K151" t="str">
        <f t="shared" si="37"/>
        <v>06</v>
      </c>
      <c r="L151" s="3">
        <v>1000</v>
      </c>
      <c r="M151" s="5">
        <v>1000</v>
      </c>
      <c r="N151" s="7">
        <v>1000</v>
      </c>
      <c r="O151" s="3">
        <v>0</v>
      </c>
      <c r="P151" s="7">
        <v>16.5</v>
      </c>
      <c r="Q151" s="7">
        <v>0</v>
      </c>
      <c r="R151" s="7">
        <v>0</v>
      </c>
      <c r="S151" s="7">
        <v>0</v>
      </c>
      <c r="T151" s="7">
        <v>1000</v>
      </c>
      <c r="U151" s="3">
        <v>0</v>
      </c>
      <c r="V151" s="7">
        <v>76</v>
      </c>
      <c r="W151" s="7">
        <v>0</v>
      </c>
      <c r="X151" s="3">
        <v>0</v>
      </c>
      <c r="Y151" s="7">
        <v>0</v>
      </c>
    </row>
    <row r="152" spans="1:25" x14ac:dyDescent="0.25">
      <c r="A152" t="s">
        <v>25</v>
      </c>
      <c r="B152" t="s">
        <v>26</v>
      </c>
      <c r="C152" t="str">
        <f t="shared" si="32"/>
        <v>1</v>
      </c>
      <c r="D152" t="str">
        <f t="shared" si="35"/>
        <v>1</v>
      </c>
      <c r="E152" t="str">
        <f>"0001414"</f>
        <v>0001414</v>
      </c>
      <c r="F152" t="s">
        <v>48</v>
      </c>
      <c r="G152" t="str">
        <f t="shared" si="36"/>
        <v>12704</v>
      </c>
      <c r="H152" t="str">
        <f t="shared" si="34"/>
        <v>01</v>
      </c>
      <c r="I152" t="s">
        <v>34</v>
      </c>
      <c r="J152" t="str">
        <f t="shared" si="33"/>
        <v>1101</v>
      </c>
      <c r="K152" t="str">
        <f t="shared" si="37"/>
        <v>06</v>
      </c>
      <c r="L152" s="3">
        <v>10</v>
      </c>
      <c r="M152" s="5">
        <v>0</v>
      </c>
      <c r="N152" s="7">
        <v>200</v>
      </c>
      <c r="O152" s="3">
        <v>0</v>
      </c>
      <c r="P152" s="7">
        <v>3.2</v>
      </c>
      <c r="Q152" s="7">
        <v>0</v>
      </c>
      <c r="R152" s="7">
        <v>0</v>
      </c>
      <c r="S152" s="7">
        <v>0</v>
      </c>
      <c r="T152" s="7">
        <v>200</v>
      </c>
      <c r="U152" s="3">
        <v>0</v>
      </c>
      <c r="V152" s="7">
        <v>15.3</v>
      </c>
      <c r="W152" s="7">
        <v>0</v>
      </c>
      <c r="X152" s="3">
        <v>0</v>
      </c>
      <c r="Y152" s="7">
        <v>0</v>
      </c>
    </row>
    <row r="153" spans="1:25" x14ac:dyDescent="0.25">
      <c r="A153" t="s">
        <v>25</v>
      </c>
      <c r="B153" t="s">
        <v>26</v>
      </c>
      <c r="C153" t="str">
        <f t="shared" si="32"/>
        <v>1</v>
      </c>
      <c r="D153" t="str">
        <f t="shared" si="35"/>
        <v>1</v>
      </c>
      <c r="E153" t="str">
        <f>"0001415"</f>
        <v>0001415</v>
      </c>
      <c r="F153" t="s">
        <v>38</v>
      </c>
      <c r="G153" t="str">
        <f t="shared" si="36"/>
        <v>12704</v>
      </c>
      <c r="H153" t="str">
        <f t="shared" si="34"/>
        <v>01</v>
      </c>
      <c r="I153" t="s">
        <v>34</v>
      </c>
      <c r="J153" t="str">
        <f t="shared" si="33"/>
        <v>1101</v>
      </c>
      <c r="K153" t="str">
        <f t="shared" si="37"/>
        <v>06</v>
      </c>
      <c r="L153" s="3">
        <v>100</v>
      </c>
      <c r="M153" s="5">
        <v>100</v>
      </c>
      <c r="N153" s="7">
        <v>100</v>
      </c>
      <c r="O153" s="3">
        <v>0</v>
      </c>
      <c r="P153" s="7">
        <v>1.65</v>
      </c>
      <c r="Q153" s="7">
        <v>0</v>
      </c>
      <c r="R153" s="7">
        <v>0</v>
      </c>
      <c r="S153" s="7">
        <v>0</v>
      </c>
      <c r="T153" s="7">
        <v>100</v>
      </c>
      <c r="U153" s="3">
        <v>0</v>
      </c>
      <c r="V153" s="7">
        <v>7.6</v>
      </c>
      <c r="W153" s="7">
        <v>0</v>
      </c>
      <c r="X153" s="3">
        <v>0</v>
      </c>
      <c r="Y153" s="7">
        <v>0</v>
      </c>
    </row>
    <row r="154" spans="1:25" x14ac:dyDescent="0.25">
      <c r="A154" t="s">
        <v>25</v>
      </c>
      <c r="B154" t="s">
        <v>26</v>
      </c>
      <c r="C154" t="str">
        <f t="shared" si="32"/>
        <v>1</v>
      </c>
      <c r="D154" t="str">
        <f t="shared" si="35"/>
        <v>1</v>
      </c>
      <c r="E154" t="str">
        <f>"0001417"</f>
        <v>0001417</v>
      </c>
      <c r="F154" t="s">
        <v>38</v>
      </c>
      <c r="G154" t="str">
        <f t="shared" si="36"/>
        <v>12704</v>
      </c>
      <c r="H154" t="str">
        <f t="shared" si="34"/>
        <v>01</v>
      </c>
      <c r="I154" t="s">
        <v>34</v>
      </c>
      <c r="J154" t="str">
        <f t="shared" si="33"/>
        <v>1101</v>
      </c>
      <c r="K154" t="str">
        <f t="shared" si="37"/>
        <v>06</v>
      </c>
      <c r="L154" s="3">
        <v>80</v>
      </c>
      <c r="M154" s="5">
        <v>80</v>
      </c>
      <c r="N154" s="7">
        <v>80</v>
      </c>
      <c r="O154" s="3">
        <v>0</v>
      </c>
      <c r="P154" s="7">
        <v>1.32</v>
      </c>
      <c r="Q154" s="7">
        <v>0</v>
      </c>
      <c r="R154" s="7">
        <v>0</v>
      </c>
      <c r="S154" s="7">
        <v>0</v>
      </c>
      <c r="T154" s="7">
        <v>80</v>
      </c>
      <c r="U154" s="3">
        <v>0</v>
      </c>
      <c r="V154" s="7">
        <v>6.08</v>
      </c>
      <c r="W154" s="7">
        <v>0</v>
      </c>
      <c r="X154" s="3">
        <v>0</v>
      </c>
      <c r="Y154" s="7">
        <v>0</v>
      </c>
    </row>
    <row r="155" spans="1:25" x14ac:dyDescent="0.25">
      <c r="A155" t="s">
        <v>25</v>
      </c>
      <c r="B155" t="s">
        <v>26</v>
      </c>
      <c r="C155" t="str">
        <f t="shared" si="32"/>
        <v>1</v>
      </c>
      <c r="D155" t="str">
        <f t="shared" si="35"/>
        <v>1</v>
      </c>
      <c r="E155" t="str">
        <f>"0001418"</f>
        <v>0001418</v>
      </c>
      <c r="F155" t="s">
        <v>46</v>
      </c>
      <c r="G155" t="str">
        <f t="shared" si="36"/>
        <v>12704</v>
      </c>
      <c r="H155" t="str">
        <f t="shared" si="34"/>
        <v>01</v>
      </c>
      <c r="I155" t="s">
        <v>34</v>
      </c>
      <c r="J155" t="str">
        <f t="shared" si="33"/>
        <v>1101</v>
      </c>
      <c r="K155" t="str">
        <f t="shared" si="37"/>
        <v>06</v>
      </c>
      <c r="L155" s="3">
        <v>1000</v>
      </c>
      <c r="M155" s="5">
        <v>1000</v>
      </c>
      <c r="N155" s="7">
        <v>1000</v>
      </c>
      <c r="O155" s="3">
        <v>0</v>
      </c>
      <c r="P155" s="7">
        <v>16.5</v>
      </c>
      <c r="Q155" s="7">
        <v>0</v>
      </c>
      <c r="R155" s="7">
        <v>0</v>
      </c>
      <c r="S155" s="7">
        <v>0</v>
      </c>
      <c r="T155" s="7">
        <v>1000</v>
      </c>
      <c r="U155" s="3">
        <v>0</v>
      </c>
      <c r="V155" s="7">
        <v>76</v>
      </c>
      <c r="W155" s="7">
        <v>0</v>
      </c>
      <c r="X155" s="3">
        <v>0</v>
      </c>
      <c r="Y155" s="7">
        <v>0</v>
      </c>
    </row>
    <row r="156" spans="1:25" x14ac:dyDescent="0.25">
      <c r="A156" t="s">
        <v>25</v>
      </c>
      <c r="B156" t="s">
        <v>26</v>
      </c>
      <c r="C156" t="str">
        <f t="shared" si="32"/>
        <v>1</v>
      </c>
      <c r="D156" t="str">
        <f t="shared" si="35"/>
        <v>1</v>
      </c>
      <c r="E156" t="str">
        <f>"0001419"</f>
        <v>0001419</v>
      </c>
      <c r="F156" t="s">
        <v>40</v>
      </c>
      <c r="G156" t="str">
        <f t="shared" si="36"/>
        <v>12704</v>
      </c>
      <c r="H156" t="str">
        <f t="shared" si="34"/>
        <v>01</v>
      </c>
      <c r="I156" t="s">
        <v>34</v>
      </c>
      <c r="J156" t="str">
        <f t="shared" si="33"/>
        <v>1101</v>
      </c>
      <c r="K156" t="str">
        <f>"99"</f>
        <v>99</v>
      </c>
      <c r="L156" s="3">
        <v>50</v>
      </c>
      <c r="M156" s="5">
        <v>0</v>
      </c>
      <c r="N156" s="7">
        <v>0</v>
      </c>
      <c r="O156" s="3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3">
        <v>0</v>
      </c>
      <c r="V156" s="7">
        <v>0</v>
      </c>
      <c r="W156" s="7">
        <v>0</v>
      </c>
      <c r="X156" s="3">
        <v>0</v>
      </c>
      <c r="Y156" s="7">
        <v>0</v>
      </c>
    </row>
    <row r="157" spans="1:25" x14ac:dyDescent="0.25">
      <c r="A157" t="s">
        <v>25</v>
      </c>
      <c r="B157" t="s">
        <v>26</v>
      </c>
      <c r="C157" t="str">
        <f t="shared" si="32"/>
        <v>1</v>
      </c>
      <c r="D157" t="str">
        <f t="shared" si="35"/>
        <v>1</v>
      </c>
      <c r="E157" t="str">
        <f>"0001420"</f>
        <v>0001420</v>
      </c>
      <c r="F157" t="s">
        <v>36</v>
      </c>
      <c r="G157" t="str">
        <f t="shared" si="36"/>
        <v>12704</v>
      </c>
      <c r="H157" t="str">
        <f t="shared" si="34"/>
        <v>01</v>
      </c>
      <c r="I157" t="s">
        <v>34</v>
      </c>
      <c r="J157" t="str">
        <f t="shared" si="33"/>
        <v>1101</v>
      </c>
      <c r="K157" t="str">
        <f>"06"</f>
        <v>06</v>
      </c>
      <c r="L157" s="3">
        <v>1000</v>
      </c>
      <c r="M157" s="5">
        <v>1000</v>
      </c>
      <c r="N157" s="7">
        <v>1000</v>
      </c>
      <c r="O157" s="3">
        <v>0</v>
      </c>
      <c r="P157" s="7">
        <v>16.5</v>
      </c>
      <c r="Q157" s="7">
        <v>0</v>
      </c>
      <c r="R157" s="7">
        <v>0</v>
      </c>
      <c r="S157" s="7">
        <v>0</v>
      </c>
      <c r="T157" s="7">
        <v>1000</v>
      </c>
      <c r="U157" s="3">
        <v>0</v>
      </c>
      <c r="V157" s="7">
        <v>76</v>
      </c>
      <c r="W157" s="7">
        <v>0</v>
      </c>
      <c r="X157" s="3">
        <v>0</v>
      </c>
      <c r="Y157" s="7">
        <v>0</v>
      </c>
    </row>
    <row r="158" spans="1:25" x14ac:dyDescent="0.25">
      <c r="A158" t="s">
        <v>25</v>
      </c>
      <c r="B158" t="s">
        <v>26</v>
      </c>
      <c r="C158" t="str">
        <f t="shared" si="32"/>
        <v>1</v>
      </c>
      <c r="D158" t="str">
        <f t="shared" si="35"/>
        <v>1</v>
      </c>
      <c r="E158" t="str">
        <f>"0001432"</f>
        <v>0001432</v>
      </c>
      <c r="F158" t="str">
        <f>"11111"</f>
        <v>11111</v>
      </c>
      <c r="G158" t="str">
        <f t="shared" si="36"/>
        <v>12704</v>
      </c>
      <c r="H158" t="str">
        <f t="shared" si="34"/>
        <v>01</v>
      </c>
      <c r="I158" t="s">
        <v>45</v>
      </c>
      <c r="J158" t="str">
        <f t="shared" si="33"/>
        <v>1101</v>
      </c>
      <c r="K158" t="str">
        <f>"06"</f>
        <v>06</v>
      </c>
      <c r="L158" s="3">
        <v>1166.55</v>
      </c>
      <c r="M158" s="5">
        <v>1111</v>
      </c>
      <c r="N158" s="7">
        <v>1111</v>
      </c>
      <c r="O158" s="3">
        <v>0</v>
      </c>
      <c r="P158" s="7">
        <v>18.329999999999998</v>
      </c>
      <c r="Q158" s="7">
        <v>0</v>
      </c>
      <c r="R158" s="7">
        <v>0</v>
      </c>
      <c r="S158" s="7">
        <v>0</v>
      </c>
      <c r="T158" s="7">
        <v>1111</v>
      </c>
      <c r="U158" s="3">
        <v>0</v>
      </c>
      <c r="V158" s="7">
        <v>84.44</v>
      </c>
      <c r="W158" s="7">
        <v>0</v>
      </c>
      <c r="X158" s="3">
        <v>0</v>
      </c>
      <c r="Y158" s="7">
        <v>0</v>
      </c>
    </row>
    <row r="159" spans="1:25" x14ac:dyDescent="0.25">
      <c r="A159" t="s">
        <v>25</v>
      </c>
      <c r="B159" t="s">
        <v>26</v>
      </c>
      <c r="C159" t="str">
        <f t="shared" si="32"/>
        <v>1</v>
      </c>
      <c r="D159" t="str">
        <f t="shared" si="35"/>
        <v>1</v>
      </c>
      <c r="E159" t="str">
        <f>"0001444"</f>
        <v>0001444</v>
      </c>
      <c r="F159" t="s">
        <v>38</v>
      </c>
      <c r="G159" t="str">
        <f t="shared" si="36"/>
        <v>12704</v>
      </c>
      <c r="H159" t="str">
        <f t="shared" si="34"/>
        <v>01</v>
      </c>
      <c r="I159" t="s">
        <v>34</v>
      </c>
      <c r="J159" t="str">
        <f t="shared" si="33"/>
        <v>1101</v>
      </c>
      <c r="K159" t="str">
        <f>"06"</f>
        <v>06</v>
      </c>
      <c r="L159" s="3">
        <v>1000</v>
      </c>
      <c r="M159" s="5">
        <v>1000</v>
      </c>
      <c r="N159" s="7">
        <v>1000</v>
      </c>
      <c r="O159" s="3">
        <v>0</v>
      </c>
      <c r="P159" s="7">
        <v>16.5</v>
      </c>
      <c r="Q159" s="7">
        <v>0</v>
      </c>
      <c r="R159" s="7">
        <v>0</v>
      </c>
      <c r="S159" s="7">
        <v>0</v>
      </c>
      <c r="T159" s="7">
        <v>1000</v>
      </c>
      <c r="U159" s="3">
        <v>0</v>
      </c>
      <c r="V159" s="7">
        <v>76</v>
      </c>
      <c r="W159" s="7">
        <v>0</v>
      </c>
      <c r="X159" s="3">
        <v>0</v>
      </c>
      <c r="Y159" s="7">
        <v>0</v>
      </c>
    </row>
    <row r="160" spans="1:25" x14ac:dyDescent="0.25">
      <c r="A160" t="s">
        <v>25</v>
      </c>
      <c r="B160" t="s">
        <v>26</v>
      </c>
      <c r="C160" t="str">
        <f t="shared" si="32"/>
        <v>1</v>
      </c>
      <c r="D160" t="str">
        <f t="shared" si="35"/>
        <v>1</v>
      </c>
      <c r="E160" t="str">
        <f>"0001445"</f>
        <v>0001445</v>
      </c>
      <c r="F160" t="s">
        <v>40</v>
      </c>
      <c r="G160" t="str">
        <f t="shared" si="36"/>
        <v>12704</v>
      </c>
      <c r="H160" t="str">
        <f t="shared" si="34"/>
        <v>01</v>
      </c>
      <c r="I160" t="s">
        <v>34</v>
      </c>
      <c r="J160" t="str">
        <f t="shared" si="33"/>
        <v>1101</v>
      </c>
      <c r="K160" t="str">
        <f>"99"</f>
        <v>99</v>
      </c>
      <c r="L160" s="3">
        <v>10</v>
      </c>
      <c r="M160" s="5">
        <v>0</v>
      </c>
      <c r="N160" s="7">
        <v>0</v>
      </c>
      <c r="O160" s="3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3">
        <v>0</v>
      </c>
      <c r="V160" s="7">
        <v>0</v>
      </c>
      <c r="W160" s="7">
        <v>0</v>
      </c>
      <c r="X160" s="3">
        <v>0</v>
      </c>
      <c r="Y160" s="7">
        <v>0</v>
      </c>
    </row>
    <row r="161" spans="1:25" x14ac:dyDescent="0.25">
      <c r="A161" t="s">
        <v>25</v>
      </c>
      <c r="B161" t="s">
        <v>26</v>
      </c>
      <c r="C161" t="str">
        <f t="shared" si="32"/>
        <v>1</v>
      </c>
      <c r="D161" t="str">
        <f t="shared" si="35"/>
        <v>1</v>
      </c>
      <c r="E161" t="str">
        <f>"0001446"</f>
        <v>0001446</v>
      </c>
      <c r="F161" t="s">
        <v>38</v>
      </c>
      <c r="G161" t="str">
        <f t="shared" si="36"/>
        <v>12704</v>
      </c>
      <c r="H161" t="str">
        <f t="shared" si="34"/>
        <v>01</v>
      </c>
      <c r="I161" t="s">
        <v>34</v>
      </c>
      <c r="J161" t="str">
        <f t="shared" si="33"/>
        <v>1101</v>
      </c>
      <c r="K161" t="str">
        <f>"06"</f>
        <v>06</v>
      </c>
      <c r="L161" s="3">
        <v>1000</v>
      </c>
      <c r="M161" s="5">
        <v>1000</v>
      </c>
      <c r="N161" s="7">
        <v>1000</v>
      </c>
      <c r="O161" s="3">
        <v>0</v>
      </c>
      <c r="P161" s="7">
        <v>16.5</v>
      </c>
      <c r="Q161" s="7">
        <v>0</v>
      </c>
      <c r="R161" s="7">
        <v>0</v>
      </c>
      <c r="S161" s="7">
        <v>0</v>
      </c>
      <c r="T161" s="7">
        <v>1000</v>
      </c>
      <c r="U161" s="3">
        <v>0</v>
      </c>
      <c r="V161" s="7">
        <v>76</v>
      </c>
      <c r="W161" s="7">
        <v>0</v>
      </c>
      <c r="X161" s="3">
        <v>0</v>
      </c>
      <c r="Y161" s="7">
        <v>0</v>
      </c>
    </row>
    <row r="162" spans="1:25" x14ac:dyDescent="0.25">
      <c r="A162" t="s">
        <v>25</v>
      </c>
      <c r="B162" t="s">
        <v>26</v>
      </c>
      <c r="C162" t="str">
        <f t="shared" si="32"/>
        <v>1</v>
      </c>
      <c r="D162" t="str">
        <f t="shared" si="35"/>
        <v>1</v>
      </c>
      <c r="E162" t="str">
        <f>"0001447"</f>
        <v>0001447</v>
      </c>
      <c r="F162" t="s">
        <v>40</v>
      </c>
      <c r="G162" t="str">
        <f t="shared" si="36"/>
        <v>12704</v>
      </c>
      <c r="H162" t="str">
        <f t="shared" si="34"/>
        <v>01</v>
      </c>
      <c r="I162" t="s">
        <v>34</v>
      </c>
      <c r="J162" t="str">
        <f t="shared" si="33"/>
        <v>1101</v>
      </c>
      <c r="K162" t="str">
        <f>"99"</f>
        <v>99</v>
      </c>
      <c r="L162" s="3">
        <v>50</v>
      </c>
      <c r="M162" s="5">
        <v>0</v>
      </c>
      <c r="N162" s="7">
        <v>0</v>
      </c>
      <c r="O162" s="3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3">
        <v>0</v>
      </c>
      <c r="V162" s="7">
        <v>0</v>
      </c>
      <c r="W162" s="7">
        <v>0</v>
      </c>
      <c r="X162" s="3">
        <v>0</v>
      </c>
      <c r="Y162" s="7">
        <v>0</v>
      </c>
    </row>
    <row r="163" spans="1:25" x14ac:dyDescent="0.25">
      <c r="A163" t="s">
        <v>25</v>
      </c>
      <c r="B163" t="s">
        <v>26</v>
      </c>
      <c r="C163" t="str">
        <f t="shared" si="32"/>
        <v>1</v>
      </c>
      <c r="D163" t="str">
        <f t="shared" si="35"/>
        <v>1</v>
      </c>
      <c r="E163" t="str">
        <f>"0001448"</f>
        <v>0001448</v>
      </c>
      <c r="F163" t="s">
        <v>38</v>
      </c>
      <c r="G163" t="str">
        <f t="shared" si="36"/>
        <v>12704</v>
      </c>
      <c r="H163" t="str">
        <f t="shared" si="34"/>
        <v>01</v>
      </c>
      <c r="I163" t="s">
        <v>34</v>
      </c>
      <c r="J163" t="str">
        <f t="shared" si="33"/>
        <v>1101</v>
      </c>
      <c r="K163" t="str">
        <f>"06"</f>
        <v>06</v>
      </c>
      <c r="L163" s="3">
        <v>50</v>
      </c>
      <c r="M163" s="5">
        <v>50</v>
      </c>
      <c r="N163" s="7">
        <v>50</v>
      </c>
      <c r="O163" s="3">
        <v>0</v>
      </c>
      <c r="P163" s="7">
        <v>0.83</v>
      </c>
      <c r="Q163" s="7">
        <v>0</v>
      </c>
      <c r="R163" s="7">
        <v>0</v>
      </c>
      <c r="S163" s="7">
        <v>0</v>
      </c>
      <c r="T163" s="7">
        <v>50</v>
      </c>
      <c r="U163" s="3">
        <v>0</v>
      </c>
      <c r="V163" s="7">
        <v>3.8</v>
      </c>
      <c r="W163" s="7">
        <v>0</v>
      </c>
      <c r="X163" s="3">
        <v>0</v>
      </c>
      <c r="Y163" s="7">
        <v>0</v>
      </c>
    </row>
    <row r="164" spans="1:25" x14ac:dyDescent="0.25">
      <c r="A164" t="s">
        <v>25</v>
      </c>
      <c r="B164" t="s">
        <v>26</v>
      </c>
      <c r="C164" t="str">
        <f t="shared" si="32"/>
        <v>1</v>
      </c>
      <c r="D164" t="str">
        <f t="shared" si="35"/>
        <v>1</v>
      </c>
      <c r="E164" t="str">
        <f>"0001448"</f>
        <v>0001448</v>
      </c>
      <c r="F164" t="s">
        <v>38</v>
      </c>
      <c r="G164" t="str">
        <f t="shared" si="36"/>
        <v>12704</v>
      </c>
      <c r="H164" t="str">
        <f t="shared" si="34"/>
        <v>01</v>
      </c>
      <c r="I164" t="s">
        <v>34</v>
      </c>
      <c r="J164" t="str">
        <f t="shared" si="33"/>
        <v>1101</v>
      </c>
      <c r="K164" t="str">
        <f>"06"</f>
        <v>06</v>
      </c>
      <c r="L164" s="3">
        <v>90</v>
      </c>
      <c r="M164" s="5">
        <v>90</v>
      </c>
      <c r="N164" s="7">
        <v>90</v>
      </c>
      <c r="O164" s="3">
        <v>0</v>
      </c>
      <c r="P164" s="7">
        <v>1.49</v>
      </c>
      <c r="Q164" s="7">
        <v>0</v>
      </c>
      <c r="R164" s="7">
        <v>0</v>
      </c>
      <c r="S164" s="7">
        <v>0</v>
      </c>
      <c r="T164" s="7">
        <v>90</v>
      </c>
      <c r="U164" s="3">
        <v>0</v>
      </c>
      <c r="V164" s="7">
        <v>6.84</v>
      </c>
      <c r="W164" s="7">
        <v>0</v>
      </c>
      <c r="X164" s="3">
        <v>0</v>
      </c>
      <c r="Y164" s="7">
        <v>0</v>
      </c>
    </row>
    <row r="165" spans="1:25" x14ac:dyDescent="0.25">
      <c r="A165" t="s">
        <v>25</v>
      </c>
      <c r="B165" t="s">
        <v>26</v>
      </c>
      <c r="C165" t="str">
        <f t="shared" si="32"/>
        <v>1</v>
      </c>
      <c r="D165" t="str">
        <f t="shared" si="35"/>
        <v>1</v>
      </c>
      <c r="E165" t="str">
        <f>"0001449"</f>
        <v>0001449</v>
      </c>
      <c r="F165" t="s">
        <v>40</v>
      </c>
      <c r="G165" t="str">
        <f t="shared" si="36"/>
        <v>12704</v>
      </c>
      <c r="H165" t="str">
        <f t="shared" si="34"/>
        <v>01</v>
      </c>
      <c r="I165" t="s">
        <v>34</v>
      </c>
      <c r="J165" t="str">
        <f t="shared" si="33"/>
        <v>1101</v>
      </c>
      <c r="K165" t="str">
        <f>"99"</f>
        <v>99</v>
      </c>
      <c r="L165" s="3">
        <v>2.5</v>
      </c>
      <c r="M165" s="5">
        <v>0</v>
      </c>
      <c r="N165" s="7">
        <v>0</v>
      </c>
      <c r="O165" s="3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3">
        <v>0</v>
      </c>
      <c r="V165" s="7">
        <v>0</v>
      </c>
      <c r="W165" s="7">
        <v>0</v>
      </c>
      <c r="X165" s="3">
        <v>0</v>
      </c>
      <c r="Y165" s="7">
        <v>0</v>
      </c>
    </row>
    <row r="166" spans="1:25" x14ac:dyDescent="0.25">
      <c r="A166" t="s">
        <v>25</v>
      </c>
      <c r="B166" t="s">
        <v>26</v>
      </c>
      <c r="C166" t="str">
        <f t="shared" si="32"/>
        <v>1</v>
      </c>
      <c r="D166" t="str">
        <f t="shared" si="35"/>
        <v>1</v>
      </c>
      <c r="E166" t="str">
        <f>"0001449"</f>
        <v>0001449</v>
      </c>
      <c r="F166" t="s">
        <v>40</v>
      </c>
      <c r="G166" t="str">
        <f t="shared" si="36"/>
        <v>12704</v>
      </c>
      <c r="H166" t="str">
        <f t="shared" si="34"/>
        <v>01</v>
      </c>
      <c r="I166" t="s">
        <v>34</v>
      </c>
      <c r="J166" t="str">
        <f t="shared" si="33"/>
        <v>1101</v>
      </c>
      <c r="K166" t="str">
        <f>"99"</f>
        <v>99</v>
      </c>
      <c r="L166" s="3">
        <v>4.5</v>
      </c>
      <c r="M166" s="5">
        <v>0</v>
      </c>
      <c r="N166" s="7">
        <v>0</v>
      </c>
      <c r="O166" s="3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3">
        <v>0</v>
      </c>
      <c r="V166" s="7">
        <v>0</v>
      </c>
      <c r="W166" s="7">
        <v>0</v>
      </c>
      <c r="X166" s="3">
        <v>0</v>
      </c>
      <c r="Y166" s="7">
        <v>0</v>
      </c>
    </row>
    <row r="167" spans="1:25" x14ac:dyDescent="0.25">
      <c r="A167" t="s">
        <v>25</v>
      </c>
      <c r="B167" t="s">
        <v>26</v>
      </c>
      <c r="C167" t="str">
        <f t="shared" si="32"/>
        <v>1</v>
      </c>
      <c r="D167" t="str">
        <f t="shared" si="35"/>
        <v>1</v>
      </c>
      <c r="E167" t="str">
        <f>"0001500"</f>
        <v>0001500</v>
      </c>
      <c r="F167" t="s">
        <v>38</v>
      </c>
      <c r="G167" t="str">
        <f t="shared" si="36"/>
        <v>12704</v>
      </c>
      <c r="H167" t="str">
        <f t="shared" si="34"/>
        <v>01</v>
      </c>
      <c r="I167" t="s">
        <v>34</v>
      </c>
      <c r="J167" t="str">
        <f t="shared" si="33"/>
        <v>1101</v>
      </c>
      <c r="K167" t="str">
        <f>"06"</f>
        <v>06</v>
      </c>
      <c r="L167" s="3">
        <v>400</v>
      </c>
      <c r="M167" s="5">
        <v>400</v>
      </c>
      <c r="N167" s="7">
        <v>400</v>
      </c>
      <c r="O167" s="3">
        <v>0</v>
      </c>
      <c r="P167" s="7">
        <v>6.6</v>
      </c>
      <c r="Q167" s="7">
        <v>0</v>
      </c>
      <c r="R167" s="7">
        <v>0</v>
      </c>
      <c r="S167" s="7">
        <v>0</v>
      </c>
      <c r="T167" s="7">
        <v>400</v>
      </c>
      <c r="U167" s="3">
        <v>0</v>
      </c>
      <c r="V167" s="7">
        <v>30.4</v>
      </c>
      <c r="W167" s="7">
        <v>0</v>
      </c>
      <c r="X167" s="3">
        <v>0</v>
      </c>
      <c r="Y167" s="7">
        <v>0</v>
      </c>
    </row>
    <row r="168" spans="1:25" x14ac:dyDescent="0.25">
      <c r="A168" t="s">
        <v>25</v>
      </c>
      <c r="B168" t="s">
        <v>26</v>
      </c>
      <c r="C168" t="str">
        <f t="shared" si="32"/>
        <v>1</v>
      </c>
      <c r="D168" t="str">
        <f t="shared" si="35"/>
        <v>1</v>
      </c>
      <c r="E168" t="str">
        <f>"0001501"</f>
        <v>0001501</v>
      </c>
      <c r="F168" t="s">
        <v>40</v>
      </c>
      <c r="G168" t="str">
        <f t="shared" si="36"/>
        <v>12704</v>
      </c>
      <c r="H168" t="str">
        <f t="shared" si="34"/>
        <v>01</v>
      </c>
      <c r="I168" t="s">
        <v>34</v>
      </c>
      <c r="J168" t="str">
        <f t="shared" si="33"/>
        <v>1101</v>
      </c>
      <c r="K168" t="str">
        <f>"07"</f>
        <v>07</v>
      </c>
      <c r="L168" s="3">
        <v>20</v>
      </c>
      <c r="M168" s="5">
        <v>0</v>
      </c>
      <c r="N168" s="7">
        <v>400</v>
      </c>
      <c r="O168" s="3">
        <v>0</v>
      </c>
      <c r="P168" s="7">
        <v>0</v>
      </c>
      <c r="Q168" s="7">
        <v>0</v>
      </c>
      <c r="R168" s="7">
        <v>0</v>
      </c>
      <c r="S168" s="7">
        <v>0</v>
      </c>
      <c r="T168" s="7">
        <v>400</v>
      </c>
      <c r="U168" s="3">
        <v>0</v>
      </c>
      <c r="V168" s="7">
        <v>0</v>
      </c>
      <c r="W168" s="7">
        <v>0</v>
      </c>
      <c r="X168" s="3">
        <v>0</v>
      </c>
      <c r="Y168" s="7">
        <v>0</v>
      </c>
    </row>
    <row r="169" spans="1:25" x14ac:dyDescent="0.25">
      <c r="A169" t="s">
        <v>25</v>
      </c>
      <c r="B169" t="s">
        <v>26</v>
      </c>
      <c r="C169" t="str">
        <f t="shared" si="32"/>
        <v>1</v>
      </c>
      <c r="D169" t="str">
        <f t="shared" si="35"/>
        <v>1</v>
      </c>
      <c r="E169" t="str">
        <f>"0001503"</f>
        <v>0001503</v>
      </c>
      <c r="F169" t="s">
        <v>40</v>
      </c>
      <c r="G169" t="str">
        <f t="shared" si="36"/>
        <v>12704</v>
      </c>
      <c r="H169" t="str">
        <f t="shared" si="34"/>
        <v>01</v>
      </c>
      <c r="I169" t="s">
        <v>34</v>
      </c>
      <c r="J169" t="str">
        <f t="shared" si="33"/>
        <v>1101</v>
      </c>
      <c r="K169" t="str">
        <f>"07"</f>
        <v>07</v>
      </c>
      <c r="L169" s="3">
        <v>17</v>
      </c>
      <c r="M169" s="5">
        <v>0</v>
      </c>
      <c r="N169" s="7">
        <v>340</v>
      </c>
      <c r="O169" s="3">
        <v>0</v>
      </c>
      <c r="P169" s="7">
        <v>0</v>
      </c>
      <c r="Q169" s="7">
        <v>0</v>
      </c>
      <c r="R169" s="7">
        <v>0</v>
      </c>
      <c r="S169" s="7">
        <v>0</v>
      </c>
      <c r="T169" s="7">
        <v>340</v>
      </c>
      <c r="U169" s="3">
        <v>0</v>
      </c>
      <c r="V169" s="7">
        <v>0</v>
      </c>
      <c r="W169" s="7">
        <v>0</v>
      </c>
      <c r="X169" s="3">
        <v>0</v>
      </c>
      <c r="Y169" s="7">
        <v>0</v>
      </c>
    </row>
    <row r="170" spans="1:25" x14ac:dyDescent="0.25">
      <c r="A170" t="s">
        <v>25</v>
      </c>
      <c r="B170" t="s">
        <v>26</v>
      </c>
      <c r="C170" t="str">
        <f t="shared" ref="C170:C201" si="38">"1"</f>
        <v>1</v>
      </c>
      <c r="D170" t="str">
        <f t="shared" si="35"/>
        <v>1</v>
      </c>
      <c r="E170" t="str">
        <f>"0001600"</f>
        <v>0001600</v>
      </c>
      <c r="F170" t="s">
        <v>38</v>
      </c>
      <c r="G170" t="str">
        <f t="shared" si="36"/>
        <v>12704</v>
      </c>
      <c r="H170" t="str">
        <f t="shared" si="34"/>
        <v>01</v>
      </c>
      <c r="I170" t="s">
        <v>34</v>
      </c>
      <c r="J170" t="str">
        <f t="shared" ref="J170:J201" si="39">"1101"</f>
        <v>1101</v>
      </c>
      <c r="K170" t="str">
        <f>"06"</f>
        <v>06</v>
      </c>
      <c r="L170" s="3">
        <v>90</v>
      </c>
      <c r="M170" s="5">
        <v>90</v>
      </c>
      <c r="N170" s="7">
        <v>90</v>
      </c>
      <c r="O170" s="3">
        <v>0</v>
      </c>
      <c r="P170" s="7">
        <v>1.49</v>
      </c>
      <c r="Q170" s="7">
        <v>0</v>
      </c>
      <c r="R170" s="7">
        <v>0</v>
      </c>
      <c r="S170" s="7">
        <v>0</v>
      </c>
      <c r="T170" s="7">
        <v>90</v>
      </c>
      <c r="U170" s="3">
        <v>0</v>
      </c>
      <c r="V170" s="7">
        <v>6.84</v>
      </c>
      <c r="W170" s="7">
        <v>0</v>
      </c>
      <c r="X170" s="3">
        <v>0</v>
      </c>
      <c r="Y170" s="7">
        <v>0</v>
      </c>
    </row>
    <row r="171" spans="1:25" x14ac:dyDescent="0.25">
      <c r="A171" t="s">
        <v>25</v>
      </c>
      <c r="B171" t="s">
        <v>26</v>
      </c>
      <c r="C171" t="str">
        <f t="shared" si="38"/>
        <v>1</v>
      </c>
      <c r="D171" t="str">
        <f t="shared" si="35"/>
        <v>1</v>
      </c>
      <c r="E171" t="str">
        <f>"0001600"</f>
        <v>0001600</v>
      </c>
      <c r="F171" t="s">
        <v>38</v>
      </c>
      <c r="G171" t="str">
        <f t="shared" si="36"/>
        <v>12704</v>
      </c>
      <c r="H171" t="str">
        <f t="shared" ref="H171:H202" si="40">"01"</f>
        <v>01</v>
      </c>
      <c r="I171" t="s">
        <v>34</v>
      </c>
      <c r="J171" t="str">
        <f t="shared" si="39"/>
        <v>1101</v>
      </c>
      <c r="K171" t="str">
        <f>"06"</f>
        <v>06</v>
      </c>
      <c r="L171" s="3">
        <v>50</v>
      </c>
      <c r="M171" s="5">
        <v>50</v>
      </c>
      <c r="N171" s="7">
        <v>50</v>
      </c>
      <c r="O171" s="3">
        <v>0</v>
      </c>
      <c r="P171" s="7">
        <v>0.83</v>
      </c>
      <c r="Q171" s="7">
        <v>0</v>
      </c>
      <c r="R171" s="7">
        <v>0</v>
      </c>
      <c r="S171" s="7">
        <v>0</v>
      </c>
      <c r="T171" s="7">
        <v>50</v>
      </c>
      <c r="U171" s="3">
        <v>0</v>
      </c>
      <c r="V171" s="7">
        <v>3.8</v>
      </c>
      <c r="W171" s="7">
        <v>0</v>
      </c>
      <c r="X171" s="3">
        <v>0</v>
      </c>
      <c r="Y171" s="7">
        <v>0</v>
      </c>
    </row>
    <row r="172" spans="1:25" x14ac:dyDescent="0.25">
      <c r="A172" t="s">
        <v>25</v>
      </c>
      <c r="B172" t="s">
        <v>26</v>
      </c>
      <c r="C172" t="str">
        <f t="shared" si="38"/>
        <v>1</v>
      </c>
      <c r="D172" t="str">
        <f t="shared" si="35"/>
        <v>1</v>
      </c>
      <c r="E172" t="str">
        <f>"0001601"</f>
        <v>0001601</v>
      </c>
      <c r="F172" t="s">
        <v>40</v>
      </c>
      <c r="G172" t="str">
        <f t="shared" si="36"/>
        <v>12704</v>
      </c>
      <c r="H172" t="str">
        <f t="shared" si="40"/>
        <v>01</v>
      </c>
      <c r="I172" t="s">
        <v>34</v>
      </c>
      <c r="J172" t="str">
        <f t="shared" si="39"/>
        <v>1101</v>
      </c>
      <c r="K172" t="str">
        <f>"99"</f>
        <v>99</v>
      </c>
      <c r="L172" s="3">
        <v>4.5</v>
      </c>
      <c r="M172" s="5">
        <v>0</v>
      </c>
      <c r="N172" s="7">
        <v>0</v>
      </c>
      <c r="O172" s="3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3">
        <v>0</v>
      </c>
      <c r="V172" s="7">
        <v>0</v>
      </c>
      <c r="W172" s="7">
        <v>0</v>
      </c>
      <c r="X172" s="3">
        <v>0</v>
      </c>
      <c r="Y172" s="7">
        <v>0</v>
      </c>
    </row>
    <row r="173" spans="1:25" x14ac:dyDescent="0.25">
      <c r="A173" t="s">
        <v>25</v>
      </c>
      <c r="B173" t="s">
        <v>26</v>
      </c>
      <c r="C173" t="str">
        <f t="shared" si="38"/>
        <v>1</v>
      </c>
      <c r="D173" t="str">
        <f t="shared" si="35"/>
        <v>1</v>
      </c>
      <c r="E173" t="str">
        <f>"0001601"</f>
        <v>0001601</v>
      </c>
      <c r="F173" t="s">
        <v>40</v>
      </c>
      <c r="G173" t="str">
        <f t="shared" si="36"/>
        <v>12704</v>
      </c>
      <c r="H173" t="str">
        <f t="shared" si="40"/>
        <v>01</v>
      </c>
      <c r="I173" t="s">
        <v>34</v>
      </c>
      <c r="J173" t="str">
        <f t="shared" si="39"/>
        <v>1101</v>
      </c>
      <c r="K173" t="str">
        <f>"99"</f>
        <v>99</v>
      </c>
      <c r="L173" s="3">
        <v>2.5</v>
      </c>
      <c r="M173" s="5">
        <v>0</v>
      </c>
      <c r="N173" s="7">
        <v>0</v>
      </c>
      <c r="O173" s="3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3">
        <v>0</v>
      </c>
      <c r="V173" s="7">
        <v>0</v>
      </c>
      <c r="W173" s="7">
        <v>0</v>
      </c>
      <c r="X173" s="3">
        <v>0</v>
      </c>
      <c r="Y173" s="7">
        <v>0</v>
      </c>
    </row>
    <row r="174" spans="1:25" x14ac:dyDescent="0.25">
      <c r="A174" t="s">
        <v>25</v>
      </c>
      <c r="B174" t="s">
        <v>26</v>
      </c>
      <c r="C174" t="str">
        <f t="shared" si="38"/>
        <v>1</v>
      </c>
      <c r="D174" t="str">
        <f t="shared" si="35"/>
        <v>1</v>
      </c>
      <c r="E174" t="str">
        <f>"0001603"</f>
        <v>0001603</v>
      </c>
      <c r="F174" t="str">
        <f>"11111"</f>
        <v>11111</v>
      </c>
      <c r="G174" t="str">
        <f t="shared" si="36"/>
        <v>12704</v>
      </c>
      <c r="H174" t="str">
        <f t="shared" si="40"/>
        <v>01</v>
      </c>
      <c r="I174" t="s">
        <v>49</v>
      </c>
      <c r="J174" t="str">
        <f t="shared" si="39"/>
        <v>1101</v>
      </c>
      <c r="K174" t="str">
        <f>"06"</f>
        <v>06</v>
      </c>
      <c r="L174" s="3">
        <v>157.5</v>
      </c>
      <c r="M174" s="5">
        <v>150</v>
      </c>
      <c r="N174" s="7">
        <v>150</v>
      </c>
      <c r="O174" s="3">
        <v>0</v>
      </c>
      <c r="P174" s="7">
        <v>2.48</v>
      </c>
      <c r="Q174" s="7">
        <v>0</v>
      </c>
      <c r="R174" s="7">
        <v>0</v>
      </c>
      <c r="S174" s="7">
        <v>0</v>
      </c>
      <c r="T174" s="7">
        <v>150</v>
      </c>
      <c r="U174" s="3">
        <v>0</v>
      </c>
      <c r="V174" s="7">
        <v>11.4</v>
      </c>
      <c r="W174" s="7">
        <v>0</v>
      </c>
      <c r="X174" s="3">
        <v>0</v>
      </c>
      <c r="Y174" s="7">
        <v>0</v>
      </c>
    </row>
    <row r="175" spans="1:25" x14ac:dyDescent="0.25">
      <c r="A175" t="s">
        <v>25</v>
      </c>
      <c r="B175" t="s">
        <v>26</v>
      </c>
      <c r="C175" t="str">
        <f t="shared" si="38"/>
        <v>1</v>
      </c>
      <c r="D175" t="str">
        <f t="shared" si="35"/>
        <v>1</v>
      </c>
      <c r="E175" t="str">
        <f>"0001603"</f>
        <v>0001603</v>
      </c>
      <c r="F175" t="str">
        <f>"11111"</f>
        <v>11111</v>
      </c>
      <c r="G175" t="str">
        <f t="shared" si="36"/>
        <v>12704</v>
      </c>
      <c r="H175" t="str">
        <f t="shared" si="40"/>
        <v>01</v>
      </c>
      <c r="I175" t="s">
        <v>50</v>
      </c>
      <c r="J175" t="str">
        <f t="shared" si="39"/>
        <v>1101</v>
      </c>
      <c r="K175" t="str">
        <f>"06"</f>
        <v>06</v>
      </c>
      <c r="L175" s="3">
        <v>126</v>
      </c>
      <c r="M175" s="5">
        <v>120</v>
      </c>
      <c r="N175" s="7">
        <v>120</v>
      </c>
      <c r="O175" s="3">
        <v>0</v>
      </c>
      <c r="P175" s="7">
        <v>1.98</v>
      </c>
      <c r="Q175" s="7">
        <v>0</v>
      </c>
      <c r="R175" s="7">
        <v>0</v>
      </c>
      <c r="S175" s="7">
        <v>0</v>
      </c>
      <c r="T175" s="7">
        <v>120</v>
      </c>
      <c r="U175" s="3">
        <v>0</v>
      </c>
      <c r="V175" s="7">
        <v>9.1199999999999992</v>
      </c>
      <c r="W175" s="7">
        <v>0</v>
      </c>
      <c r="X175" s="3">
        <v>0</v>
      </c>
      <c r="Y175" s="7">
        <v>0</v>
      </c>
    </row>
    <row r="176" spans="1:25" x14ac:dyDescent="0.25">
      <c r="A176" t="s">
        <v>25</v>
      </c>
      <c r="B176" t="s">
        <v>26</v>
      </c>
      <c r="C176" t="str">
        <f t="shared" si="38"/>
        <v>1</v>
      </c>
      <c r="D176" t="str">
        <f t="shared" si="35"/>
        <v>1</v>
      </c>
      <c r="E176" t="str">
        <f>"0001603"</f>
        <v>0001603</v>
      </c>
      <c r="F176" t="str">
        <f>"11111"</f>
        <v>11111</v>
      </c>
      <c r="G176" t="str">
        <f t="shared" si="36"/>
        <v>12704</v>
      </c>
      <c r="H176" t="str">
        <f t="shared" si="40"/>
        <v>01</v>
      </c>
      <c r="I176" t="s">
        <v>49</v>
      </c>
      <c r="J176" t="str">
        <f t="shared" si="39"/>
        <v>1101</v>
      </c>
      <c r="K176" t="str">
        <f>"06"</f>
        <v>06</v>
      </c>
      <c r="L176" s="3">
        <v>105</v>
      </c>
      <c r="M176" s="5">
        <v>100</v>
      </c>
      <c r="N176" s="7">
        <v>100</v>
      </c>
      <c r="O176" s="3">
        <v>0</v>
      </c>
      <c r="P176" s="7">
        <v>1.65</v>
      </c>
      <c r="Q176" s="7">
        <v>0</v>
      </c>
      <c r="R176" s="7">
        <v>0</v>
      </c>
      <c r="S176" s="7">
        <v>0</v>
      </c>
      <c r="T176" s="7">
        <v>100</v>
      </c>
      <c r="U176" s="3">
        <v>0</v>
      </c>
      <c r="V176" s="7">
        <v>7.6</v>
      </c>
      <c r="W176" s="7">
        <v>0</v>
      </c>
      <c r="X176" s="3">
        <v>0</v>
      </c>
      <c r="Y176" s="7">
        <v>0</v>
      </c>
    </row>
    <row r="177" spans="1:25" x14ac:dyDescent="0.25">
      <c r="A177" t="s">
        <v>25</v>
      </c>
      <c r="B177" t="s">
        <v>26</v>
      </c>
      <c r="C177" t="str">
        <f t="shared" si="38"/>
        <v>1</v>
      </c>
      <c r="D177" t="s">
        <v>33</v>
      </c>
      <c r="E177" t="str">
        <f>"0003008"</f>
        <v>0003008</v>
      </c>
      <c r="F177" t="s">
        <v>38</v>
      </c>
      <c r="G177" t="str">
        <f>"1"</f>
        <v>1</v>
      </c>
      <c r="H177" t="str">
        <f t="shared" si="40"/>
        <v>01</v>
      </c>
      <c r="I177" t="s">
        <v>34</v>
      </c>
      <c r="J177" t="str">
        <f t="shared" si="39"/>
        <v>1101</v>
      </c>
      <c r="K177" t="str">
        <f>"06"</f>
        <v>06</v>
      </c>
      <c r="L177" s="3">
        <v>10</v>
      </c>
      <c r="M177" s="5">
        <v>10</v>
      </c>
      <c r="N177" s="7">
        <v>10</v>
      </c>
      <c r="O177" s="3">
        <v>0</v>
      </c>
      <c r="P177" s="7">
        <v>0.17</v>
      </c>
      <c r="Q177" s="7">
        <v>0</v>
      </c>
      <c r="R177" s="7">
        <v>0</v>
      </c>
      <c r="S177" s="7">
        <v>0</v>
      </c>
      <c r="T177" s="7">
        <v>10</v>
      </c>
      <c r="U177" s="3">
        <v>0</v>
      </c>
      <c r="V177" s="7">
        <v>0.76</v>
      </c>
      <c r="W177" s="7">
        <v>0</v>
      </c>
      <c r="X177" s="3">
        <v>0</v>
      </c>
      <c r="Y177" s="7">
        <v>0</v>
      </c>
    </row>
    <row r="178" spans="1:25" x14ac:dyDescent="0.25">
      <c r="A178" t="s">
        <v>25</v>
      </c>
      <c r="B178" t="s">
        <v>26</v>
      </c>
      <c r="C178" t="str">
        <f t="shared" si="38"/>
        <v>1</v>
      </c>
      <c r="D178" t="s">
        <v>33</v>
      </c>
      <c r="E178" t="str">
        <f>"0003008"</f>
        <v>0003008</v>
      </c>
      <c r="F178" t="s">
        <v>40</v>
      </c>
      <c r="G178" t="str">
        <f>"1"</f>
        <v>1</v>
      </c>
      <c r="H178" t="str">
        <f t="shared" si="40"/>
        <v>01</v>
      </c>
      <c r="I178" t="s">
        <v>34</v>
      </c>
      <c r="J178" t="str">
        <f t="shared" si="39"/>
        <v>1101</v>
      </c>
      <c r="K178" t="str">
        <f>"99"</f>
        <v>99</v>
      </c>
      <c r="L178" s="3">
        <v>0.5</v>
      </c>
      <c r="M178" s="5">
        <v>0</v>
      </c>
      <c r="N178" s="7">
        <v>0</v>
      </c>
      <c r="O178" s="3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3">
        <v>0</v>
      </c>
      <c r="V178" s="7">
        <v>0</v>
      </c>
      <c r="W178" s="7">
        <v>0</v>
      </c>
      <c r="X178" s="3">
        <v>0</v>
      </c>
      <c r="Y178" s="7">
        <v>0</v>
      </c>
    </row>
    <row r="179" spans="1:25" x14ac:dyDescent="0.25">
      <c r="A179" t="s">
        <v>25</v>
      </c>
      <c r="B179" t="s">
        <v>26</v>
      </c>
      <c r="C179" t="str">
        <f t="shared" si="38"/>
        <v>1</v>
      </c>
      <c r="D179" t="s">
        <v>33</v>
      </c>
      <c r="E179" t="str">
        <f>"0003208"</f>
        <v>0003208</v>
      </c>
      <c r="F179" t="s">
        <v>38</v>
      </c>
      <c r="G179" t="str">
        <f>"1"</f>
        <v>1</v>
      </c>
      <c r="H179" t="str">
        <f t="shared" si="40"/>
        <v>01</v>
      </c>
      <c r="I179" t="s">
        <v>34</v>
      </c>
      <c r="J179" t="str">
        <f t="shared" si="39"/>
        <v>1101</v>
      </c>
      <c r="K179" t="str">
        <f t="shared" ref="K179:K187" si="41">"06"</f>
        <v>06</v>
      </c>
      <c r="L179" s="3">
        <v>10.5</v>
      </c>
      <c r="M179" s="5">
        <v>10</v>
      </c>
      <c r="N179" s="7">
        <v>10</v>
      </c>
      <c r="O179" s="3">
        <v>0</v>
      </c>
      <c r="P179" s="7">
        <v>0.17</v>
      </c>
      <c r="Q179" s="7">
        <v>0</v>
      </c>
      <c r="R179" s="7">
        <v>0</v>
      </c>
      <c r="S179" s="7">
        <v>0</v>
      </c>
      <c r="T179" s="7">
        <v>10</v>
      </c>
      <c r="U179" s="3">
        <v>0</v>
      </c>
      <c r="V179" s="7">
        <v>0.76</v>
      </c>
      <c r="W179" s="7">
        <v>0</v>
      </c>
      <c r="X179" s="3">
        <v>0</v>
      </c>
      <c r="Y179" s="7">
        <v>0</v>
      </c>
    </row>
    <row r="180" spans="1:25" x14ac:dyDescent="0.25">
      <c r="A180" t="s">
        <v>25</v>
      </c>
      <c r="B180" t="s">
        <v>26</v>
      </c>
      <c r="C180" t="str">
        <f t="shared" si="38"/>
        <v>1</v>
      </c>
      <c r="D180" t="s">
        <v>33</v>
      </c>
      <c r="E180" t="str">
        <f>"0003308"</f>
        <v>0003308</v>
      </c>
      <c r="F180" t="s">
        <v>38</v>
      </c>
      <c r="G180" t="str">
        <f>"1"</f>
        <v>1</v>
      </c>
      <c r="H180" t="str">
        <f t="shared" si="40"/>
        <v>01</v>
      </c>
      <c r="I180" t="s">
        <v>34</v>
      </c>
      <c r="J180" t="str">
        <f t="shared" si="39"/>
        <v>1101</v>
      </c>
      <c r="K180" t="str">
        <f t="shared" si="41"/>
        <v>06</v>
      </c>
      <c r="L180" s="3">
        <v>10.5</v>
      </c>
      <c r="M180" s="5">
        <v>10</v>
      </c>
      <c r="N180" s="7">
        <v>10</v>
      </c>
      <c r="O180" s="3">
        <v>0</v>
      </c>
      <c r="P180" s="7">
        <v>0.17</v>
      </c>
      <c r="Q180" s="7">
        <v>0</v>
      </c>
      <c r="R180" s="7">
        <v>0</v>
      </c>
      <c r="S180" s="7">
        <v>0</v>
      </c>
      <c r="T180" s="7">
        <v>10</v>
      </c>
      <c r="U180" s="3">
        <v>0</v>
      </c>
      <c r="V180" s="7">
        <v>0.76</v>
      </c>
      <c r="W180" s="7">
        <v>0</v>
      </c>
      <c r="X180" s="3">
        <v>0</v>
      </c>
      <c r="Y180" s="7">
        <v>0</v>
      </c>
    </row>
    <row r="181" spans="1:25" x14ac:dyDescent="0.25">
      <c r="A181" t="s">
        <v>25</v>
      </c>
      <c r="B181" t="s">
        <v>26</v>
      </c>
      <c r="C181" t="str">
        <f t="shared" si="38"/>
        <v>1</v>
      </c>
      <c r="D181" t="s">
        <v>33</v>
      </c>
      <c r="E181" t="str">
        <f>"0003408"</f>
        <v>0003408</v>
      </c>
      <c r="F181" t="s">
        <v>38</v>
      </c>
      <c r="G181" t="str">
        <f>"1"</f>
        <v>1</v>
      </c>
      <c r="H181" t="str">
        <f t="shared" si="40"/>
        <v>01</v>
      </c>
      <c r="I181" t="s">
        <v>34</v>
      </c>
      <c r="J181" t="str">
        <f t="shared" si="39"/>
        <v>1101</v>
      </c>
      <c r="K181" t="str">
        <f t="shared" si="41"/>
        <v>06</v>
      </c>
      <c r="L181" s="3">
        <v>10.5</v>
      </c>
      <c r="M181" s="5">
        <v>10</v>
      </c>
      <c r="N181" s="7">
        <v>10</v>
      </c>
      <c r="O181" s="3">
        <v>0</v>
      </c>
      <c r="P181" s="7">
        <v>0.17</v>
      </c>
      <c r="Q181" s="7">
        <v>0</v>
      </c>
      <c r="R181" s="7">
        <v>0</v>
      </c>
      <c r="S181" s="7">
        <v>0</v>
      </c>
      <c r="T181" s="7">
        <v>10</v>
      </c>
      <c r="U181" s="3">
        <v>0</v>
      </c>
      <c r="V181" s="7">
        <v>0.76</v>
      </c>
      <c r="W181" s="7">
        <v>0</v>
      </c>
      <c r="X181" s="3">
        <v>0</v>
      </c>
      <c r="Y181" s="7">
        <v>0</v>
      </c>
    </row>
    <row r="182" spans="1:25" x14ac:dyDescent="0.25">
      <c r="A182" t="s">
        <v>25</v>
      </c>
      <c r="B182" t="s">
        <v>26</v>
      </c>
      <c r="C182" t="str">
        <f t="shared" si="38"/>
        <v>1</v>
      </c>
      <c r="D182" t="s">
        <v>33</v>
      </c>
      <c r="E182" t="str">
        <f>"0010811"</f>
        <v>0010811</v>
      </c>
      <c r="F182" t="s">
        <v>36</v>
      </c>
      <c r="G182" t="str">
        <f>"12704"</f>
        <v>12704</v>
      </c>
      <c r="H182" t="str">
        <f t="shared" si="40"/>
        <v>01</v>
      </c>
      <c r="I182" t="s">
        <v>39</v>
      </c>
      <c r="J182" t="str">
        <f t="shared" si="39"/>
        <v>1101</v>
      </c>
      <c r="K182" t="str">
        <f t="shared" si="41"/>
        <v>06</v>
      </c>
      <c r="L182" s="3">
        <v>15</v>
      </c>
      <c r="M182" s="5">
        <v>15</v>
      </c>
      <c r="N182" s="7">
        <v>15</v>
      </c>
      <c r="O182" s="3">
        <v>0</v>
      </c>
      <c r="P182" s="7">
        <v>0.25</v>
      </c>
      <c r="Q182" s="7">
        <v>0</v>
      </c>
      <c r="R182" s="7">
        <v>0</v>
      </c>
      <c r="S182" s="7">
        <v>0</v>
      </c>
      <c r="T182" s="7">
        <v>15</v>
      </c>
      <c r="U182" s="3">
        <v>0</v>
      </c>
      <c r="V182" s="7">
        <v>1.1399999999999999</v>
      </c>
      <c r="W182" s="7">
        <v>0</v>
      </c>
      <c r="X182" s="3">
        <v>0</v>
      </c>
      <c r="Y182" s="7">
        <v>0</v>
      </c>
    </row>
    <row r="183" spans="1:25" x14ac:dyDescent="0.25">
      <c r="A183" t="s">
        <v>25</v>
      </c>
      <c r="B183" t="s">
        <v>26</v>
      </c>
      <c r="C183" t="str">
        <f t="shared" si="38"/>
        <v>1</v>
      </c>
      <c r="D183" t="str">
        <f>"1"</f>
        <v>1</v>
      </c>
      <c r="E183" t="str">
        <f>"0011082"</f>
        <v>0011082</v>
      </c>
      <c r="F183" t="s">
        <v>38</v>
      </c>
      <c r="G183" t="str">
        <f>"12704"</f>
        <v>12704</v>
      </c>
      <c r="H183" t="str">
        <f t="shared" si="40"/>
        <v>01</v>
      </c>
      <c r="I183" t="s">
        <v>39</v>
      </c>
      <c r="J183" t="str">
        <f t="shared" si="39"/>
        <v>1101</v>
      </c>
      <c r="K183" t="str">
        <f t="shared" si="41"/>
        <v>06</v>
      </c>
      <c r="L183" s="3">
        <v>100</v>
      </c>
      <c r="M183" s="5">
        <v>100</v>
      </c>
      <c r="N183" s="7">
        <v>100</v>
      </c>
      <c r="O183" s="3">
        <v>0</v>
      </c>
      <c r="P183" s="7">
        <v>1.65</v>
      </c>
      <c r="Q183" s="7">
        <v>0</v>
      </c>
      <c r="R183" s="7">
        <v>0</v>
      </c>
      <c r="S183" s="7">
        <v>0</v>
      </c>
      <c r="T183" s="7">
        <v>100</v>
      </c>
      <c r="U183" s="3">
        <v>0</v>
      </c>
      <c r="V183" s="7">
        <v>7.6</v>
      </c>
      <c r="W183" s="7">
        <v>0</v>
      </c>
      <c r="X183" s="3">
        <v>0</v>
      </c>
      <c r="Y183" s="7">
        <v>0</v>
      </c>
    </row>
    <row r="184" spans="1:25" x14ac:dyDescent="0.25">
      <c r="A184" t="s">
        <v>25</v>
      </c>
      <c r="B184" t="s">
        <v>26</v>
      </c>
      <c r="C184" t="str">
        <f t="shared" si="38"/>
        <v>1</v>
      </c>
      <c r="D184" t="s">
        <v>51</v>
      </c>
      <c r="E184" t="str">
        <f>"0020811"</f>
        <v>0020811</v>
      </c>
      <c r="F184" t="s">
        <v>36</v>
      </c>
      <c r="G184" t="str">
        <f>"12704"</f>
        <v>12704</v>
      </c>
      <c r="H184" t="str">
        <f t="shared" si="40"/>
        <v>01</v>
      </c>
      <c r="I184" t="s">
        <v>34</v>
      </c>
      <c r="J184" t="str">
        <f t="shared" si="39"/>
        <v>1101</v>
      </c>
      <c r="K184" t="str">
        <f t="shared" si="41"/>
        <v>06</v>
      </c>
      <c r="L184" s="3">
        <v>300</v>
      </c>
      <c r="M184" s="5">
        <v>300</v>
      </c>
      <c r="N184" s="7">
        <v>255</v>
      </c>
      <c r="O184" s="3">
        <v>0</v>
      </c>
      <c r="P184" s="7">
        <v>4.21</v>
      </c>
      <c r="Q184" s="7">
        <v>0</v>
      </c>
      <c r="R184" s="7">
        <v>0</v>
      </c>
      <c r="S184" s="7">
        <v>0</v>
      </c>
      <c r="T184" s="7">
        <v>255</v>
      </c>
      <c r="U184" s="3">
        <v>0</v>
      </c>
      <c r="V184" s="7">
        <v>19.38</v>
      </c>
      <c r="W184" s="7">
        <v>0</v>
      </c>
      <c r="X184" s="3">
        <v>0</v>
      </c>
      <c r="Y184" s="7">
        <v>0</v>
      </c>
    </row>
    <row r="185" spans="1:25" x14ac:dyDescent="0.25">
      <c r="A185" t="s">
        <v>25</v>
      </c>
      <c r="B185" t="s">
        <v>26</v>
      </c>
      <c r="C185" t="str">
        <f t="shared" si="38"/>
        <v>1</v>
      </c>
      <c r="D185" t="s">
        <v>33</v>
      </c>
      <c r="E185" t="str">
        <f>"0020811"</f>
        <v>0020811</v>
      </c>
      <c r="F185" t="str">
        <f>"199999"</f>
        <v>199999</v>
      </c>
      <c r="G185" t="str">
        <f>"12704"</f>
        <v>12704</v>
      </c>
      <c r="H185" t="str">
        <f t="shared" si="40"/>
        <v>01</v>
      </c>
      <c r="I185" t="s">
        <v>37</v>
      </c>
      <c r="J185" t="str">
        <f t="shared" si="39"/>
        <v>1101</v>
      </c>
      <c r="K185" t="str">
        <f t="shared" si="41"/>
        <v>06</v>
      </c>
      <c r="L185" s="3">
        <v>105</v>
      </c>
      <c r="M185" s="5">
        <v>100</v>
      </c>
      <c r="N185" s="7">
        <v>100</v>
      </c>
      <c r="O185" s="3">
        <v>0</v>
      </c>
      <c r="P185" s="7">
        <v>0</v>
      </c>
      <c r="Q185" s="7">
        <v>0</v>
      </c>
      <c r="R185" s="7">
        <v>0</v>
      </c>
      <c r="S185" s="7">
        <v>0</v>
      </c>
      <c r="T185" s="7">
        <v>100</v>
      </c>
      <c r="U185" s="3">
        <v>0</v>
      </c>
      <c r="V185" s="7">
        <v>0</v>
      </c>
      <c r="W185" s="7">
        <v>0</v>
      </c>
      <c r="X185" s="3">
        <v>0</v>
      </c>
      <c r="Y185" s="7">
        <v>0</v>
      </c>
    </row>
    <row r="186" spans="1:25" x14ac:dyDescent="0.25">
      <c r="A186" t="s">
        <v>25</v>
      </c>
      <c r="B186" t="s">
        <v>26</v>
      </c>
      <c r="C186" t="str">
        <f t="shared" si="38"/>
        <v>1</v>
      </c>
      <c r="D186" t="s">
        <v>33</v>
      </c>
      <c r="E186" t="str">
        <f>"0025081"</f>
        <v>0025081</v>
      </c>
      <c r="F186" t="s">
        <v>35</v>
      </c>
      <c r="G186" t="str">
        <f>"1"</f>
        <v>1</v>
      </c>
      <c r="H186" t="str">
        <f t="shared" si="40"/>
        <v>01</v>
      </c>
      <c r="I186" t="str">
        <f>"1122"</f>
        <v>1122</v>
      </c>
      <c r="J186" t="str">
        <f t="shared" si="39"/>
        <v>1101</v>
      </c>
      <c r="K186" t="str">
        <f t="shared" si="41"/>
        <v>06</v>
      </c>
      <c r="L186" s="3">
        <v>15097.45</v>
      </c>
      <c r="M186" s="5">
        <v>15097.45</v>
      </c>
      <c r="N186" s="7">
        <v>15097.45</v>
      </c>
      <c r="O186" s="3">
        <v>0</v>
      </c>
      <c r="P186" s="7">
        <v>249.11</v>
      </c>
      <c r="Q186" s="7">
        <v>0</v>
      </c>
      <c r="R186" s="7">
        <v>0</v>
      </c>
      <c r="S186" s="7">
        <v>0</v>
      </c>
      <c r="T186" s="7">
        <v>15097.45</v>
      </c>
      <c r="U186" s="3">
        <v>0</v>
      </c>
      <c r="V186" s="7">
        <v>958.69</v>
      </c>
      <c r="W186" s="7">
        <v>0</v>
      </c>
      <c r="X186" s="3">
        <v>0</v>
      </c>
      <c r="Y186" s="7">
        <v>0</v>
      </c>
    </row>
    <row r="187" spans="1:25" x14ac:dyDescent="0.25">
      <c r="A187" t="s">
        <v>25</v>
      </c>
      <c r="B187" t="s">
        <v>26</v>
      </c>
      <c r="C187" t="str">
        <f t="shared" si="38"/>
        <v>1</v>
      </c>
      <c r="D187" t="s">
        <v>33</v>
      </c>
      <c r="E187" t="str">
        <f>"0030082"</f>
        <v>0030082</v>
      </c>
      <c r="F187" t="s">
        <v>35</v>
      </c>
      <c r="G187" t="str">
        <f>"1"</f>
        <v>1</v>
      </c>
      <c r="H187" t="str">
        <f t="shared" si="40"/>
        <v>01</v>
      </c>
      <c r="I187" t="str">
        <f>"7700"</f>
        <v>7700</v>
      </c>
      <c r="J187" t="str">
        <f t="shared" si="39"/>
        <v>1101</v>
      </c>
      <c r="K187" t="str">
        <f t="shared" si="41"/>
        <v>06</v>
      </c>
      <c r="L187" s="3">
        <v>84700</v>
      </c>
      <c r="M187" s="5">
        <v>84700</v>
      </c>
      <c r="N187" s="7">
        <v>84700</v>
      </c>
      <c r="O187" s="3">
        <v>0</v>
      </c>
      <c r="P187" s="7">
        <v>1397.55</v>
      </c>
      <c r="Q187" s="7">
        <v>0</v>
      </c>
      <c r="R187" s="7">
        <v>0</v>
      </c>
      <c r="S187" s="7">
        <v>0</v>
      </c>
      <c r="T187" s="7">
        <v>84700</v>
      </c>
      <c r="U187" s="3">
        <v>0</v>
      </c>
      <c r="V187" s="7">
        <v>5378.45</v>
      </c>
      <c r="W187" s="7">
        <v>0</v>
      </c>
      <c r="X187" s="3">
        <v>0</v>
      </c>
      <c r="Y187" s="7">
        <v>0</v>
      </c>
    </row>
    <row r="188" spans="1:25" x14ac:dyDescent="0.25">
      <c r="A188" t="s">
        <v>25</v>
      </c>
      <c r="B188" t="s">
        <v>26</v>
      </c>
      <c r="C188" t="str">
        <f t="shared" si="38"/>
        <v>1</v>
      </c>
      <c r="D188" t="s">
        <v>33</v>
      </c>
      <c r="E188" t="str">
        <f>"0032081"</f>
        <v>0032081</v>
      </c>
      <c r="F188" t="s">
        <v>40</v>
      </c>
      <c r="G188" t="str">
        <f>"1"</f>
        <v>1</v>
      </c>
      <c r="H188" t="str">
        <f t="shared" si="40"/>
        <v>01</v>
      </c>
      <c r="I188" t="s">
        <v>34</v>
      </c>
      <c r="J188" t="str">
        <f t="shared" si="39"/>
        <v>1101</v>
      </c>
      <c r="K188" t="str">
        <f>"99"</f>
        <v>99</v>
      </c>
      <c r="L188" s="3">
        <v>0</v>
      </c>
      <c r="M188" s="5">
        <v>0</v>
      </c>
      <c r="N188" s="7">
        <v>0</v>
      </c>
      <c r="O188" s="3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3">
        <v>0</v>
      </c>
      <c r="V188" s="7">
        <v>0</v>
      </c>
      <c r="W188" s="7">
        <v>0</v>
      </c>
      <c r="X188" s="3">
        <v>0</v>
      </c>
      <c r="Y188" s="7">
        <v>0</v>
      </c>
    </row>
    <row r="189" spans="1:25" x14ac:dyDescent="0.25">
      <c r="A189" t="s">
        <v>25</v>
      </c>
      <c r="B189" t="s">
        <v>26</v>
      </c>
      <c r="C189" t="str">
        <f t="shared" si="38"/>
        <v>1</v>
      </c>
      <c r="D189" t="s">
        <v>33</v>
      </c>
      <c r="E189" t="str">
        <f>"0033081"</f>
        <v>0033081</v>
      </c>
      <c r="F189" t="s">
        <v>40</v>
      </c>
      <c r="G189" t="str">
        <f>"1"</f>
        <v>1</v>
      </c>
      <c r="H189" t="str">
        <f t="shared" si="40"/>
        <v>01</v>
      </c>
      <c r="I189" t="s">
        <v>34</v>
      </c>
      <c r="J189" t="str">
        <f t="shared" si="39"/>
        <v>1101</v>
      </c>
      <c r="K189" t="str">
        <f>"99"</f>
        <v>99</v>
      </c>
      <c r="L189" s="3">
        <v>0</v>
      </c>
      <c r="M189" s="5">
        <v>0</v>
      </c>
      <c r="N189" s="7">
        <v>0</v>
      </c>
      <c r="O189" s="3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3">
        <v>0</v>
      </c>
      <c r="V189" s="7">
        <v>0</v>
      </c>
      <c r="W189" s="7">
        <v>0</v>
      </c>
      <c r="X189" s="3">
        <v>0</v>
      </c>
      <c r="Y189" s="7">
        <v>0</v>
      </c>
    </row>
    <row r="190" spans="1:25" x14ac:dyDescent="0.25">
      <c r="A190" t="s">
        <v>25</v>
      </c>
      <c r="B190" t="s">
        <v>26</v>
      </c>
      <c r="C190" t="str">
        <f t="shared" si="38"/>
        <v>1</v>
      </c>
      <c r="D190" t="s">
        <v>33</v>
      </c>
      <c r="E190" t="str">
        <f>"0040811"</f>
        <v>0040811</v>
      </c>
      <c r="F190" t="s">
        <v>36</v>
      </c>
      <c r="G190" t="str">
        <f>"12704"</f>
        <v>12704</v>
      </c>
      <c r="H190" t="str">
        <f t="shared" si="40"/>
        <v>01</v>
      </c>
      <c r="I190" t="s">
        <v>34</v>
      </c>
      <c r="J190" t="str">
        <f t="shared" si="39"/>
        <v>1101</v>
      </c>
      <c r="K190" t="str">
        <f>"06"</f>
        <v>06</v>
      </c>
      <c r="L190" s="3">
        <v>2500</v>
      </c>
      <c r="M190" s="5">
        <v>2500</v>
      </c>
      <c r="N190" s="7">
        <v>2500</v>
      </c>
      <c r="O190" s="3">
        <v>0</v>
      </c>
      <c r="P190" s="7">
        <v>41.25</v>
      </c>
      <c r="Q190" s="7">
        <v>0</v>
      </c>
      <c r="R190" s="7">
        <v>0</v>
      </c>
      <c r="S190" s="7">
        <v>0</v>
      </c>
      <c r="T190" s="7">
        <v>2500</v>
      </c>
      <c r="U190" s="3">
        <v>0</v>
      </c>
      <c r="V190" s="7">
        <v>190</v>
      </c>
      <c r="W190" s="7">
        <v>0</v>
      </c>
      <c r="X190" s="3">
        <v>0</v>
      </c>
      <c r="Y190" s="7">
        <v>0</v>
      </c>
    </row>
    <row r="191" spans="1:25" x14ac:dyDescent="0.25">
      <c r="A191" t="s">
        <v>25</v>
      </c>
      <c r="B191" t="s">
        <v>26</v>
      </c>
      <c r="C191" t="str">
        <f t="shared" si="38"/>
        <v>1</v>
      </c>
      <c r="D191" t="s">
        <v>33</v>
      </c>
      <c r="E191" t="str">
        <f>"0050810"</f>
        <v>0050810</v>
      </c>
      <c r="F191" t="str">
        <f>"11111"</f>
        <v>11111</v>
      </c>
      <c r="G191" t="str">
        <f>"40001"</f>
        <v>40001</v>
      </c>
      <c r="H191" t="str">
        <f t="shared" si="40"/>
        <v>01</v>
      </c>
      <c r="I191" t="s">
        <v>52</v>
      </c>
      <c r="J191" t="str">
        <f t="shared" si="39"/>
        <v>1101</v>
      </c>
      <c r="K191" t="str">
        <f>"06"</f>
        <v>06</v>
      </c>
      <c r="L191" s="3">
        <v>8.19</v>
      </c>
      <c r="M191" s="5">
        <v>7.8</v>
      </c>
      <c r="N191" s="7">
        <v>7.8</v>
      </c>
      <c r="O191" s="3">
        <v>0</v>
      </c>
      <c r="P191" s="7">
        <v>0.13</v>
      </c>
      <c r="Q191" s="7">
        <v>0</v>
      </c>
      <c r="R191" s="7">
        <v>0</v>
      </c>
      <c r="S191" s="7">
        <v>0</v>
      </c>
      <c r="T191" s="7">
        <v>7.8</v>
      </c>
      <c r="U191" s="3">
        <v>0</v>
      </c>
      <c r="V191" s="7">
        <v>0.59</v>
      </c>
      <c r="W191" s="7">
        <v>0</v>
      </c>
      <c r="X191" s="3">
        <v>0</v>
      </c>
      <c r="Y191" s="7">
        <v>0</v>
      </c>
    </row>
    <row r="192" spans="1:25" x14ac:dyDescent="0.25">
      <c r="A192" t="s">
        <v>25</v>
      </c>
      <c r="B192" t="s">
        <v>26</v>
      </c>
      <c r="C192" t="str">
        <f t="shared" si="38"/>
        <v>1</v>
      </c>
      <c r="D192" t="s">
        <v>33</v>
      </c>
      <c r="E192" t="str">
        <f>"0050811"</f>
        <v>0050811</v>
      </c>
      <c r="F192" t="str">
        <f>"11111"</f>
        <v>11111</v>
      </c>
      <c r="G192" t="str">
        <f>"40001"</f>
        <v>40001</v>
      </c>
      <c r="H192" t="str">
        <f t="shared" si="40"/>
        <v>01</v>
      </c>
      <c r="I192" t="s">
        <v>52</v>
      </c>
      <c r="J192" t="str">
        <f t="shared" si="39"/>
        <v>1101</v>
      </c>
      <c r="K192" t="str">
        <f>"06"</f>
        <v>06</v>
      </c>
      <c r="L192" s="3">
        <v>73.5</v>
      </c>
      <c r="M192" s="5">
        <v>70</v>
      </c>
      <c r="N192" s="7">
        <v>70</v>
      </c>
      <c r="O192" s="3">
        <v>0</v>
      </c>
      <c r="P192" s="7">
        <v>1.1599999999999999</v>
      </c>
      <c r="Q192" s="7">
        <v>0</v>
      </c>
      <c r="R192" s="7">
        <v>0</v>
      </c>
      <c r="S192" s="7">
        <v>0</v>
      </c>
      <c r="T192" s="7">
        <v>70</v>
      </c>
      <c r="U192" s="3">
        <v>0</v>
      </c>
      <c r="V192" s="7">
        <v>5.32</v>
      </c>
      <c r="W192" s="7">
        <v>0</v>
      </c>
      <c r="X192" s="3">
        <v>0</v>
      </c>
      <c r="Y192" s="7">
        <v>0</v>
      </c>
    </row>
    <row r="193" spans="1:25" x14ac:dyDescent="0.25">
      <c r="A193" t="s">
        <v>25</v>
      </c>
      <c r="B193" t="s">
        <v>26</v>
      </c>
      <c r="C193" t="str">
        <f t="shared" si="38"/>
        <v>1</v>
      </c>
      <c r="D193" t="s">
        <v>33</v>
      </c>
      <c r="E193" t="str">
        <f>"0050811"</f>
        <v>0050811</v>
      </c>
      <c r="F193" t="s">
        <v>36</v>
      </c>
      <c r="G193" t="str">
        <f t="shared" ref="G193:G210" si="42">"12704"</f>
        <v>12704</v>
      </c>
      <c r="H193" t="str">
        <f t="shared" si="40"/>
        <v>01</v>
      </c>
      <c r="I193" t="s">
        <v>37</v>
      </c>
      <c r="J193" t="str">
        <f t="shared" si="39"/>
        <v>1101</v>
      </c>
      <c r="K193" t="str">
        <f>"06"</f>
        <v>06</v>
      </c>
      <c r="L193" s="3">
        <v>574.22</v>
      </c>
      <c r="M193" s="5">
        <v>574.22</v>
      </c>
      <c r="N193" s="7">
        <v>574.22</v>
      </c>
      <c r="O193" s="3">
        <v>0</v>
      </c>
      <c r="P193" s="7">
        <v>9.4700000000000006</v>
      </c>
      <c r="Q193" s="7">
        <v>0</v>
      </c>
      <c r="R193" s="7">
        <v>0</v>
      </c>
      <c r="S193" s="7">
        <v>0</v>
      </c>
      <c r="T193" s="7">
        <v>574.22</v>
      </c>
      <c r="U193" s="3">
        <v>0</v>
      </c>
      <c r="V193" s="7">
        <v>43.64</v>
      </c>
      <c r="W193" s="7">
        <v>0</v>
      </c>
      <c r="X193" s="3">
        <v>0</v>
      </c>
      <c r="Y193" s="7">
        <v>0</v>
      </c>
    </row>
    <row r="194" spans="1:25" x14ac:dyDescent="0.25">
      <c r="A194" t="s">
        <v>25</v>
      </c>
      <c r="B194" t="s">
        <v>26</v>
      </c>
      <c r="C194" t="str">
        <f t="shared" si="38"/>
        <v>1</v>
      </c>
      <c r="D194" t="s">
        <v>33</v>
      </c>
      <c r="E194" t="str">
        <f>"0055551"</f>
        <v>0055551</v>
      </c>
      <c r="F194" t="s">
        <v>40</v>
      </c>
      <c r="G194" t="str">
        <f t="shared" si="42"/>
        <v>12704</v>
      </c>
      <c r="H194" t="str">
        <f t="shared" si="40"/>
        <v>01</v>
      </c>
      <c r="I194" t="s">
        <v>53</v>
      </c>
      <c r="J194" t="str">
        <f t="shared" si="39"/>
        <v>1101</v>
      </c>
      <c r="K194" t="str">
        <f>"99"</f>
        <v>99</v>
      </c>
      <c r="L194" s="3">
        <v>0</v>
      </c>
      <c r="M194" s="5">
        <v>0</v>
      </c>
      <c r="N194" s="7">
        <v>0</v>
      </c>
      <c r="O194" s="3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3">
        <v>0</v>
      </c>
      <c r="V194" s="7">
        <v>0</v>
      </c>
      <c r="W194" s="7">
        <v>0</v>
      </c>
      <c r="X194" s="3">
        <v>0</v>
      </c>
      <c r="Y194" s="7">
        <v>0</v>
      </c>
    </row>
    <row r="195" spans="1:25" x14ac:dyDescent="0.25">
      <c r="A195" t="s">
        <v>25</v>
      </c>
      <c r="B195" t="s">
        <v>26</v>
      </c>
      <c r="C195" t="str">
        <f t="shared" si="38"/>
        <v>1</v>
      </c>
      <c r="D195" t="s">
        <v>33</v>
      </c>
      <c r="E195" t="str">
        <f>"0055551"</f>
        <v>0055551</v>
      </c>
      <c r="F195" t="s">
        <v>40</v>
      </c>
      <c r="G195" t="str">
        <f t="shared" si="42"/>
        <v>12704</v>
      </c>
      <c r="H195" t="str">
        <f t="shared" si="40"/>
        <v>01</v>
      </c>
      <c r="I195" t="s">
        <v>54</v>
      </c>
      <c r="J195" t="str">
        <f t="shared" si="39"/>
        <v>1101</v>
      </c>
      <c r="K195" t="str">
        <f>"99"</f>
        <v>99</v>
      </c>
      <c r="L195" s="3">
        <v>0</v>
      </c>
      <c r="M195" s="5">
        <v>0</v>
      </c>
      <c r="N195" s="7">
        <v>0</v>
      </c>
      <c r="O195" s="3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3">
        <v>0</v>
      </c>
      <c r="V195" s="7">
        <v>0</v>
      </c>
      <c r="W195" s="7">
        <v>0</v>
      </c>
      <c r="X195" s="3">
        <v>0</v>
      </c>
      <c r="Y195" s="7">
        <v>0</v>
      </c>
    </row>
    <row r="196" spans="1:25" x14ac:dyDescent="0.25">
      <c r="A196" t="s">
        <v>25</v>
      </c>
      <c r="B196" t="s">
        <v>26</v>
      </c>
      <c r="C196" t="str">
        <f t="shared" si="38"/>
        <v>1</v>
      </c>
      <c r="D196" t="s">
        <v>33</v>
      </c>
      <c r="E196" t="str">
        <f>"0070811"</f>
        <v>0070811</v>
      </c>
      <c r="F196" t="s">
        <v>36</v>
      </c>
      <c r="G196" t="str">
        <f t="shared" si="42"/>
        <v>12704</v>
      </c>
      <c r="H196" t="str">
        <f t="shared" si="40"/>
        <v>01</v>
      </c>
      <c r="I196" t="s">
        <v>44</v>
      </c>
      <c r="J196" t="str">
        <f t="shared" si="39"/>
        <v>1101</v>
      </c>
      <c r="K196" t="str">
        <f>"06"</f>
        <v>06</v>
      </c>
      <c r="L196" s="3">
        <v>50</v>
      </c>
      <c r="M196" s="5">
        <v>50</v>
      </c>
      <c r="N196" s="7">
        <v>50</v>
      </c>
      <c r="O196" s="3">
        <v>0</v>
      </c>
      <c r="P196" s="7">
        <v>0.83</v>
      </c>
      <c r="Q196" s="7">
        <v>0</v>
      </c>
      <c r="R196" s="7">
        <v>0</v>
      </c>
      <c r="S196" s="7">
        <v>0</v>
      </c>
      <c r="T196" s="7">
        <v>50</v>
      </c>
      <c r="U196" s="3">
        <v>0</v>
      </c>
      <c r="V196" s="7">
        <v>3.8</v>
      </c>
      <c r="W196" s="7">
        <v>0</v>
      </c>
      <c r="X196" s="3">
        <v>0</v>
      </c>
      <c r="Y196" s="7">
        <v>0</v>
      </c>
    </row>
    <row r="197" spans="1:25" x14ac:dyDescent="0.25">
      <c r="A197" t="s">
        <v>25</v>
      </c>
      <c r="B197" t="s">
        <v>26</v>
      </c>
      <c r="C197" t="str">
        <f t="shared" si="38"/>
        <v>1</v>
      </c>
      <c r="D197" t="s">
        <v>33</v>
      </c>
      <c r="E197" t="str">
        <f>"0076668"</f>
        <v>0076668</v>
      </c>
      <c r="F197" t="s">
        <v>40</v>
      </c>
      <c r="G197" t="str">
        <f t="shared" si="42"/>
        <v>12704</v>
      </c>
      <c r="H197" t="str">
        <f t="shared" si="40"/>
        <v>01</v>
      </c>
      <c r="I197" t="s">
        <v>55</v>
      </c>
      <c r="J197" t="str">
        <f t="shared" si="39"/>
        <v>1101</v>
      </c>
      <c r="K197" t="str">
        <f>"99"</f>
        <v>99</v>
      </c>
      <c r="L197" s="3">
        <v>0</v>
      </c>
      <c r="M197" s="5">
        <v>0</v>
      </c>
      <c r="N197" s="7">
        <v>0</v>
      </c>
      <c r="O197" s="3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3">
        <v>0</v>
      </c>
      <c r="V197" s="7">
        <v>0</v>
      </c>
      <c r="W197" s="7">
        <v>0</v>
      </c>
      <c r="X197" s="3">
        <v>0</v>
      </c>
      <c r="Y197" s="7">
        <v>0</v>
      </c>
    </row>
    <row r="198" spans="1:25" x14ac:dyDescent="0.25">
      <c r="A198" t="s">
        <v>25</v>
      </c>
      <c r="B198" t="s">
        <v>26</v>
      </c>
      <c r="C198" t="str">
        <f t="shared" si="38"/>
        <v>1</v>
      </c>
      <c r="D198" t="s">
        <v>33</v>
      </c>
      <c r="E198" t="str">
        <f>"0077777"</f>
        <v>0077777</v>
      </c>
      <c r="F198" t="str">
        <f>"1112"</f>
        <v>1112</v>
      </c>
      <c r="G198" t="str">
        <f t="shared" si="42"/>
        <v>12704</v>
      </c>
      <c r="H198" t="str">
        <f t="shared" si="40"/>
        <v>01</v>
      </c>
      <c r="I198" t="s">
        <v>56</v>
      </c>
      <c r="J198" t="str">
        <f t="shared" si="39"/>
        <v>1101</v>
      </c>
      <c r="K198" t="str">
        <f>"06"</f>
        <v>06</v>
      </c>
      <c r="L198" s="3">
        <v>500</v>
      </c>
      <c r="M198" s="5">
        <v>500</v>
      </c>
      <c r="N198" s="7">
        <v>500</v>
      </c>
      <c r="O198" s="3">
        <v>0</v>
      </c>
      <c r="P198" s="7">
        <v>8.25</v>
      </c>
      <c r="Q198" s="7">
        <v>0</v>
      </c>
      <c r="R198" s="7">
        <v>0</v>
      </c>
      <c r="S198" s="7">
        <v>0</v>
      </c>
      <c r="T198" s="7">
        <v>500</v>
      </c>
      <c r="U198" s="3">
        <v>0</v>
      </c>
      <c r="V198" s="7">
        <v>38</v>
      </c>
      <c r="W198" s="7">
        <v>0</v>
      </c>
      <c r="X198" s="3">
        <v>0</v>
      </c>
      <c r="Y198" s="7">
        <v>0</v>
      </c>
    </row>
    <row r="199" spans="1:25" x14ac:dyDescent="0.25">
      <c r="A199" t="s">
        <v>25</v>
      </c>
      <c r="B199" t="s">
        <v>26</v>
      </c>
      <c r="C199" t="str">
        <f t="shared" si="38"/>
        <v>1</v>
      </c>
      <c r="D199" t="s">
        <v>33</v>
      </c>
      <c r="E199" t="str">
        <f>"0088881"</f>
        <v>0088881</v>
      </c>
      <c r="F199" t="s">
        <v>40</v>
      </c>
      <c r="G199" t="str">
        <f t="shared" si="42"/>
        <v>12704</v>
      </c>
      <c r="H199" t="str">
        <f t="shared" si="40"/>
        <v>01</v>
      </c>
      <c r="I199" t="s">
        <v>57</v>
      </c>
      <c r="J199" t="str">
        <f t="shared" si="39"/>
        <v>1101</v>
      </c>
      <c r="K199" t="str">
        <f>"99"</f>
        <v>99</v>
      </c>
      <c r="L199" s="3">
        <v>0</v>
      </c>
      <c r="M199" s="5">
        <v>0</v>
      </c>
      <c r="N199" s="7">
        <v>0</v>
      </c>
      <c r="O199" s="3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3">
        <v>0</v>
      </c>
      <c r="V199" s="7">
        <v>0</v>
      </c>
      <c r="W199" s="7">
        <v>0</v>
      </c>
      <c r="X199" s="3">
        <v>0</v>
      </c>
      <c r="Y199" s="7">
        <v>0</v>
      </c>
    </row>
    <row r="200" spans="1:25" x14ac:dyDescent="0.25">
      <c r="A200" t="s">
        <v>25</v>
      </c>
      <c r="B200" t="s">
        <v>26</v>
      </c>
      <c r="C200" t="str">
        <f t="shared" si="38"/>
        <v>1</v>
      </c>
      <c r="D200" t="s">
        <v>33</v>
      </c>
      <c r="E200" t="str">
        <f>"0088883"</f>
        <v>0088883</v>
      </c>
      <c r="F200" t="s">
        <v>40</v>
      </c>
      <c r="G200" t="str">
        <f t="shared" si="42"/>
        <v>12704</v>
      </c>
      <c r="H200" t="str">
        <f t="shared" si="40"/>
        <v>01</v>
      </c>
      <c r="I200" t="s">
        <v>58</v>
      </c>
      <c r="J200" t="str">
        <f t="shared" si="39"/>
        <v>1101</v>
      </c>
      <c r="K200" t="str">
        <f>"99"</f>
        <v>99</v>
      </c>
      <c r="L200" s="3">
        <v>0</v>
      </c>
      <c r="M200" s="5">
        <v>0</v>
      </c>
      <c r="N200" s="7">
        <v>0</v>
      </c>
      <c r="O200" s="3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3">
        <v>0</v>
      </c>
      <c r="V200" s="7">
        <v>0</v>
      </c>
      <c r="W200" s="7">
        <v>0</v>
      </c>
      <c r="X200" s="3">
        <v>0</v>
      </c>
      <c r="Y200" s="7">
        <v>0</v>
      </c>
    </row>
    <row r="201" spans="1:25" x14ac:dyDescent="0.25">
      <c r="A201" t="s">
        <v>25</v>
      </c>
      <c r="B201" t="s">
        <v>26</v>
      </c>
      <c r="C201" t="str">
        <f t="shared" si="38"/>
        <v>1</v>
      </c>
      <c r="D201" t="s">
        <v>33</v>
      </c>
      <c r="E201" t="str">
        <f>"0088884"</f>
        <v>0088884</v>
      </c>
      <c r="F201" t="s">
        <v>40</v>
      </c>
      <c r="G201" t="str">
        <f t="shared" si="42"/>
        <v>12704</v>
      </c>
      <c r="H201" t="str">
        <f t="shared" si="40"/>
        <v>01</v>
      </c>
      <c r="I201" t="s">
        <v>58</v>
      </c>
      <c r="J201" t="str">
        <f t="shared" si="39"/>
        <v>1101</v>
      </c>
      <c r="K201" t="str">
        <f>"99"</f>
        <v>99</v>
      </c>
      <c r="L201" s="3">
        <v>0</v>
      </c>
      <c r="M201" s="5">
        <v>0</v>
      </c>
      <c r="N201" s="7">
        <v>0</v>
      </c>
      <c r="O201" s="3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3">
        <v>0</v>
      </c>
      <c r="V201" s="7">
        <v>0</v>
      </c>
      <c r="W201" s="7">
        <v>0</v>
      </c>
      <c r="X201" s="3">
        <v>0</v>
      </c>
      <c r="Y201" s="7">
        <v>0</v>
      </c>
    </row>
    <row r="202" spans="1:25" x14ac:dyDescent="0.25">
      <c r="A202" t="s">
        <v>25</v>
      </c>
      <c r="B202" t="s">
        <v>26</v>
      </c>
      <c r="C202" t="str">
        <f t="shared" ref="C202:C233" si="43">"1"</f>
        <v>1</v>
      </c>
      <c r="D202" t="s">
        <v>33</v>
      </c>
      <c r="E202" t="str">
        <f>"0090811"</f>
        <v>0090811</v>
      </c>
      <c r="F202" t="s">
        <v>36</v>
      </c>
      <c r="G202" t="str">
        <f t="shared" si="42"/>
        <v>12704</v>
      </c>
      <c r="H202" t="str">
        <f t="shared" si="40"/>
        <v>01</v>
      </c>
      <c r="I202" t="s">
        <v>59</v>
      </c>
      <c r="J202" t="str">
        <f t="shared" ref="J202:J233" si="44">"1101"</f>
        <v>1101</v>
      </c>
      <c r="K202" t="str">
        <f>"06"</f>
        <v>06</v>
      </c>
      <c r="L202" s="3">
        <v>50</v>
      </c>
      <c r="M202" s="5">
        <v>50</v>
      </c>
      <c r="N202" s="7">
        <v>50</v>
      </c>
      <c r="O202" s="3">
        <v>0</v>
      </c>
      <c r="P202" s="7">
        <v>0.83</v>
      </c>
      <c r="Q202" s="7">
        <v>0</v>
      </c>
      <c r="R202" s="7">
        <v>0</v>
      </c>
      <c r="S202" s="7">
        <v>0</v>
      </c>
      <c r="T202" s="7">
        <v>50</v>
      </c>
      <c r="U202" s="3">
        <v>0</v>
      </c>
      <c r="V202" s="7">
        <v>3.8</v>
      </c>
      <c r="W202" s="7">
        <v>0</v>
      </c>
      <c r="X202" s="3">
        <v>0</v>
      </c>
      <c r="Y202" s="7">
        <v>0</v>
      </c>
    </row>
    <row r="203" spans="1:25" x14ac:dyDescent="0.25">
      <c r="A203" t="s">
        <v>25</v>
      </c>
      <c r="B203" t="s">
        <v>26</v>
      </c>
      <c r="C203" t="str">
        <f t="shared" si="43"/>
        <v>1</v>
      </c>
      <c r="D203" t="s">
        <v>33</v>
      </c>
      <c r="E203" t="str">
        <f>"0090811"</f>
        <v>0090811</v>
      </c>
      <c r="F203" t="str">
        <f>"11111"</f>
        <v>11111</v>
      </c>
      <c r="G203" t="str">
        <f t="shared" si="42"/>
        <v>12704</v>
      </c>
      <c r="H203" t="str">
        <f t="shared" ref="H203:H213" si="45">"01"</f>
        <v>01</v>
      </c>
      <c r="I203" t="s">
        <v>34</v>
      </c>
      <c r="J203" t="str">
        <f t="shared" si="44"/>
        <v>1101</v>
      </c>
      <c r="K203" t="str">
        <f>"06"</f>
        <v>06</v>
      </c>
      <c r="L203" s="3">
        <v>12.6</v>
      </c>
      <c r="M203" s="5">
        <v>12</v>
      </c>
      <c r="N203" s="7">
        <v>12</v>
      </c>
      <c r="O203" s="3">
        <v>0</v>
      </c>
      <c r="P203" s="7">
        <v>0.2</v>
      </c>
      <c r="Q203" s="7">
        <v>0</v>
      </c>
      <c r="R203" s="7">
        <v>0</v>
      </c>
      <c r="S203" s="7">
        <v>0</v>
      </c>
      <c r="T203" s="7">
        <v>12</v>
      </c>
      <c r="U203" s="3">
        <v>0</v>
      </c>
      <c r="V203" s="7">
        <v>0.91</v>
      </c>
      <c r="W203" s="7">
        <v>0</v>
      </c>
      <c r="X203" s="3">
        <v>0</v>
      </c>
      <c r="Y203" s="7">
        <v>0</v>
      </c>
    </row>
    <row r="204" spans="1:25" x14ac:dyDescent="0.25">
      <c r="A204" t="s">
        <v>25</v>
      </c>
      <c r="B204" t="s">
        <v>26</v>
      </c>
      <c r="C204" t="str">
        <f t="shared" si="43"/>
        <v>1</v>
      </c>
      <c r="D204" t="s">
        <v>33</v>
      </c>
      <c r="E204" t="str">
        <f>"0100811"</f>
        <v>0100811</v>
      </c>
      <c r="F204" t="str">
        <f>"11111"</f>
        <v>11111</v>
      </c>
      <c r="G204" t="str">
        <f t="shared" si="42"/>
        <v>12704</v>
      </c>
      <c r="H204" t="str">
        <f t="shared" si="45"/>
        <v>01</v>
      </c>
      <c r="I204" t="s">
        <v>34</v>
      </c>
      <c r="J204" t="str">
        <f t="shared" si="44"/>
        <v>1101</v>
      </c>
      <c r="K204" t="str">
        <f>"06"</f>
        <v>06</v>
      </c>
      <c r="L204" s="3">
        <v>52.5</v>
      </c>
      <c r="M204" s="5">
        <v>50</v>
      </c>
      <c r="N204" s="7">
        <v>50</v>
      </c>
      <c r="O204" s="3">
        <v>0</v>
      </c>
      <c r="P204" s="7">
        <v>0.83</v>
      </c>
      <c r="Q204" s="7">
        <v>0</v>
      </c>
      <c r="R204" s="7">
        <v>0</v>
      </c>
      <c r="S204" s="7">
        <v>0</v>
      </c>
      <c r="T204" s="7">
        <v>50</v>
      </c>
      <c r="U204" s="3">
        <v>0</v>
      </c>
      <c r="V204" s="7">
        <v>3.8</v>
      </c>
      <c r="W204" s="7">
        <v>0</v>
      </c>
      <c r="X204" s="3">
        <v>0</v>
      </c>
      <c r="Y204" s="7">
        <v>0</v>
      </c>
    </row>
    <row r="205" spans="1:25" x14ac:dyDescent="0.25">
      <c r="A205" t="s">
        <v>25</v>
      </c>
      <c r="B205" t="s">
        <v>26</v>
      </c>
      <c r="C205" t="str">
        <f t="shared" si="43"/>
        <v>1</v>
      </c>
      <c r="D205" t="s">
        <v>33</v>
      </c>
      <c r="E205" t="str">
        <f>"0100811"</f>
        <v>0100811</v>
      </c>
      <c r="F205" t="s">
        <v>60</v>
      </c>
      <c r="G205" t="str">
        <f t="shared" si="42"/>
        <v>12704</v>
      </c>
      <c r="H205" t="str">
        <f t="shared" si="45"/>
        <v>01</v>
      </c>
      <c r="I205" t="s">
        <v>39</v>
      </c>
      <c r="J205" t="str">
        <f t="shared" si="44"/>
        <v>1101</v>
      </c>
      <c r="K205" t="str">
        <f>"99"</f>
        <v>99</v>
      </c>
      <c r="L205" s="3">
        <v>0</v>
      </c>
      <c r="M205" s="5">
        <v>0</v>
      </c>
      <c r="N205" s="7">
        <v>0</v>
      </c>
      <c r="O205" s="3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3">
        <v>0</v>
      </c>
      <c r="V205" s="7">
        <v>0</v>
      </c>
      <c r="W205" s="7">
        <v>0</v>
      </c>
      <c r="X205" s="3">
        <v>0</v>
      </c>
      <c r="Y205" s="7">
        <v>0</v>
      </c>
    </row>
    <row r="206" spans="1:25" x14ac:dyDescent="0.25">
      <c r="A206" t="s">
        <v>25</v>
      </c>
      <c r="B206" t="s">
        <v>26</v>
      </c>
      <c r="C206" t="str">
        <f t="shared" si="43"/>
        <v>1</v>
      </c>
      <c r="D206" t="s">
        <v>33</v>
      </c>
      <c r="E206" t="str">
        <f>"0110811"</f>
        <v>0110811</v>
      </c>
      <c r="F206" t="s">
        <v>36</v>
      </c>
      <c r="G206" t="str">
        <f t="shared" si="42"/>
        <v>12704</v>
      </c>
      <c r="H206" t="str">
        <f t="shared" si="45"/>
        <v>01</v>
      </c>
      <c r="I206" t="s">
        <v>42</v>
      </c>
      <c r="J206" t="str">
        <f t="shared" si="44"/>
        <v>1101</v>
      </c>
      <c r="K206" t="str">
        <f t="shared" ref="K206:K215" si="46">"06"</f>
        <v>06</v>
      </c>
      <c r="L206" s="3">
        <v>50</v>
      </c>
      <c r="M206" s="5">
        <v>50</v>
      </c>
      <c r="N206" s="7">
        <v>50</v>
      </c>
      <c r="O206" s="3">
        <v>0</v>
      </c>
      <c r="P206" s="7">
        <v>0.83</v>
      </c>
      <c r="Q206" s="7">
        <v>0</v>
      </c>
      <c r="R206" s="7">
        <v>0</v>
      </c>
      <c r="S206" s="7">
        <v>0</v>
      </c>
      <c r="T206" s="7">
        <v>50</v>
      </c>
      <c r="U206" s="3">
        <v>0</v>
      </c>
      <c r="V206" s="7">
        <v>3.8</v>
      </c>
      <c r="W206" s="7">
        <v>0</v>
      </c>
      <c r="X206" s="3">
        <v>0</v>
      </c>
      <c r="Y206" s="7">
        <v>0</v>
      </c>
    </row>
    <row r="207" spans="1:25" x14ac:dyDescent="0.25">
      <c r="A207" t="s">
        <v>25</v>
      </c>
      <c r="B207" t="s">
        <v>26</v>
      </c>
      <c r="C207" t="str">
        <f t="shared" si="43"/>
        <v>1</v>
      </c>
      <c r="D207" t="s">
        <v>33</v>
      </c>
      <c r="E207" t="str">
        <f>"0110811"</f>
        <v>0110811</v>
      </c>
      <c r="F207" t="s">
        <v>36</v>
      </c>
      <c r="G207" t="str">
        <f t="shared" si="42"/>
        <v>12704</v>
      </c>
      <c r="H207" t="str">
        <f t="shared" si="45"/>
        <v>01</v>
      </c>
      <c r="I207" t="s">
        <v>61</v>
      </c>
      <c r="J207" t="str">
        <f t="shared" si="44"/>
        <v>1101</v>
      </c>
      <c r="K207" t="str">
        <f t="shared" si="46"/>
        <v>06</v>
      </c>
      <c r="L207" s="3">
        <v>50</v>
      </c>
      <c r="M207" s="5">
        <v>50</v>
      </c>
      <c r="N207" s="7">
        <v>50</v>
      </c>
      <c r="O207" s="3">
        <v>0</v>
      </c>
      <c r="P207" s="7">
        <v>0.83</v>
      </c>
      <c r="Q207" s="7">
        <v>0</v>
      </c>
      <c r="R207" s="7">
        <v>0</v>
      </c>
      <c r="S207" s="7">
        <v>0</v>
      </c>
      <c r="T207" s="7">
        <v>50</v>
      </c>
      <c r="U207" s="3">
        <v>0</v>
      </c>
      <c r="V207" s="7">
        <v>3.8</v>
      </c>
      <c r="W207" s="7">
        <v>0</v>
      </c>
      <c r="X207" s="3">
        <v>0</v>
      </c>
      <c r="Y207" s="7">
        <v>0</v>
      </c>
    </row>
    <row r="208" spans="1:25" x14ac:dyDescent="0.25">
      <c r="A208" t="s">
        <v>25</v>
      </c>
      <c r="B208" t="s">
        <v>26</v>
      </c>
      <c r="C208" t="str">
        <f t="shared" si="43"/>
        <v>1</v>
      </c>
      <c r="D208" t="s">
        <v>33</v>
      </c>
      <c r="E208" t="str">
        <f>"0110811"</f>
        <v>0110811</v>
      </c>
      <c r="F208" t="s">
        <v>36</v>
      </c>
      <c r="G208" t="str">
        <f t="shared" si="42"/>
        <v>12704</v>
      </c>
      <c r="H208" t="str">
        <f t="shared" si="45"/>
        <v>01</v>
      </c>
      <c r="I208" t="s">
        <v>44</v>
      </c>
      <c r="J208" t="str">
        <f t="shared" si="44"/>
        <v>1101</v>
      </c>
      <c r="K208" t="str">
        <f t="shared" si="46"/>
        <v>06</v>
      </c>
      <c r="L208" s="3">
        <v>50</v>
      </c>
      <c r="M208" s="5">
        <v>50</v>
      </c>
      <c r="N208" s="7">
        <v>50</v>
      </c>
      <c r="O208" s="3">
        <v>0</v>
      </c>
      <c r="P208" s="7">
        <v>0.83</v>
      </c>
      <c r="Q208" s="7">
        <v>0</v>
      </c>
      <c r="R208" s="7">
        <v>0</v>
      </c>
      <c r="S208" s="7">
        <v>0</v>
      </c>
      <c r="T208" s="7">
        <v>50</v>
      </c>
      <c r="U208" s="3">
        <v>0</v>
      </c>
      <c r="V208" s="7">
        <v>3.8</v>
      </c>
      <c r="W208" s="7">
        <v>0</v>
      </c>
      <c r="X208" s="3">
        <v>0</v>
      </c>
      <c r="Y208" s="7">
        <v>0</v>
      </c>
    </row>
    <row r="209" spans="1:25" x14ac:dyDescent="0.25">
      <c r="A209" t="s">
        <v>25</v>
      </c>
      <c r="B209" t="s">
        <v>26</v>
      </c>
      <c r="C209" t="str">
        <f t="shared" si="43"/>
        <v>1</v>
      </c>
      <c r="D209" t="s">
        <v>33</v>
      </c>
      <c r="E209" t="str">
        <f>"0110811"</f>
        <v>0110811</v>
      </c>
      <c r="F209" t="s">
        <v>36</v>
      </c>
      <c r="G209" t="str">
        <f t="shared" si="42"/>
        <v>12704</v>
      </c>
      <c r="H209" t="str">
        <f t="shared" si="45"/>
        <v>01</v>
      </c>
      <c r="I209" t="s">
        <v>45</v>
      </c>
      <c r="J209" t="str">
        <f t="shared" si="44"/>
        <v>1101</v>
      </c>
      <c r="K209" t="str">
        <f t="shared" si="46"/>
        <v>06</v>
      </c>
      <c r="L209" s="3">
        <v>50</v>
      </c>
      <c r="M209" s="5">
        <v>50</v>
      </c>
      <c r="N209" s="7">
        <v>50</v>
      </c>
      <c r="O209" s="3">
        <v>0</v>
      </c>
      <c r="P209" s="7">
        <v>0.83</v>
      </c>
      <c r="Q209" s="7">
        <v>0</v>
      </c>
      <c r="R209" s="7">
        <v>0</v>
      </c>
      <c r="S209" s="7">
        <v>0</v>
      </c>
      <c r="T209" s="7">
        <v>50</v>
      </c>
      <c r="U209" s="3">
        <v>0</v>
      </c>
      <c r="V209" s="7">
        <v>3.8</v>
      </c>
      <c r="W209" s="7">
        <v>0</v>
      </c>
      <c r="X209" s="3">
        <v>0</v>
      </c>
      <c r="Y209" s="7">
        <v>0</v>
      </c>
    </row>
    <row r="210" spans="1:25" x14ac:dyDescent="0.25">
      <c r="A210" t="s">
        <v>25</v>
      </c>
      <c r="B210" t="s">
        <v>26</v>
      </c>
      <c r="C210" t="str">
        <f t="shared" si="43"/>
        <v>1</v>
      </c>
      <c r="D210" t="s">
        <v>33</v>
      </c>
      <c r="E210" t="str">
        <f>"0110811"</f>
        <v>0110811</v>
      </c>
      <c r="F210" t="s">
        <v>36</v>
      </c>
      <c r="G210" t="str">
        <f t="shared" si="42"/>
        <v>12704</v>
      </c>
      <c r="H210" t="str">
        <f t="shared" si="45"/>
        <v>01</v>
      </c>
      <c r="I210" t="s">
        <v>39</v>
      </c>
      <c r="J210" t="str">
        <f t="shared" si="44"/>
        <v>1101</v>
      </c>
      <c r="K210" t="str">
        <f t="shared" si="46"/>
        <v>06</v>
      </c>
      <c r="L210" s="3">
        <v>50</v>
      </c>
      <c r="M210" s="5">
        <v>50</v>
      </c>
      <c r="N210" s="7">
        <v>50</v>
      </c>
      <c r="O210" s="3">
        <v>0</v>
      </c>
      <c r="P210" s="7">
        <v>0.83</v>
      </c>
      <c r="Q210" s="7">
        <v>0</v>
      </c>
      <c r="R210" s="7">
        <v>0</v>
      </c>
      <c r="S210" s="7">
        <v>0</v>
      </c>
      <c r="T210" s="7">
        <v>50</v>
      </c>
      <c r="U210" s="3">
        <v>0</v>
      </c>
      <c r="V210" s="7">
        <v>3.8</v>
      </c>
      <c r="W210" s="7">
        <v>0</v>
      </c>
      <c r="X210" s="3">
        <v>0</v>
      </c>
      <c r="Y210" s="7">
        <v>0</v>
      </c>
    </row>
    <row r="211" spans="1:25" x14ac:dyDescent="0.25">
      <c r="A211" t="s">
        <v>25</v>
      </c>
      <c r="B211" t="s">
        <v>26</v>
      </c>
      <c r="C211" t="str">
        <f t="shared" si="43"/>
        <v>1</v>
      </c>
      <c r="D211" t="s">
        <v>51</v>
      </c>
      <c r="E211" t="str">
        <f>"0112233"</f>
        <v>0112233</v>
      </c>
      <c r="F211" t="str">
        <f>"11111"</f>
        <v>11111</v>
      </c>
      <c r="G211" t="str">
        <f>"255"</f>
        <v>255</v>
      </c>
      <c r="H211" t="str">
        <f t="shared" si="45"/>
        <v>01</v>
      </c>
      <c r="I211" t="s">
        <v>62</v>
      </c>
      <c r="J211" t="str">
        <f t="shared" si="44"/>
        <v>1101</v>
      </c>
      <c r="K211" t="str">
        <f t="shared" si="46"/>
        <v>06</v>
      </c>
      <c r="L211" s="3">
        <v>5000000</v>
      </c>
      <c r="M211" s="5">
        <v>5000000</v>
      </c>
      <c r="N211" s="7">
        <v>5000000</v>
      </c>
      <c r="O211" s="3">
        <v>0</v>
      </c>
      <c r="P211" s="7">
        <v>82500</v>
      </c>
      <c r="Q211" s="7">
        <v>0</v>
      </c>
      <c r="R211" s="7">
        <v>0</v>
      </c>
      <c r="S211" s="7">
        <v>0</v>
      </c>
      <c r="T211" s="7">
        <v>5000000</v>
      </c>
      <c r="U211" s="3">
        <v>0</v>
      </c>
      <c r="V211" s="7">
        <v>380000</v>
      </c>
      <c r="W211" s="7">
        <v>0</v>
      </c>
      <c r="X211" s="3">
        <v>0</v>
      </c>
      <c r="Y211" s="7">
        <v>0</v>
      </c>
    </row>
    <row r="212" spans="1:25" x14ac:dyDescent="0.25">
      <c r="A212" t="s">
        <v>25</v>
      </c>
      <c r="B212" t="s">
        <v>26</v>
      </c>
      <c r="C212" t="str">
        <f t="shared" si="43"/>
        <v>1</v>
      </c>
      <c r="D212" t="s">
        <v>33</v>
      </c>
      <c r="E212" t="str">
        <f>"0120811"</f>
        <v>0120811</v>
      </c>
      <c r="F212" t="s">
        <v>36</v>
      </c>
      <c r="G212" t="str">
        <f>"12704"</f>
        <v>12704</v>
      </c>
      <c r="H212" t="str">
        <f t="shared" si="45"/>
        <v>01</v>
      </c>
      <c r="I212" t="s">
        <v>63</v>
      </c>
      <c r="J212" t="str">
        <f t="shared" si="44"/>
        <v>1101</v>
      </c>
      <c r="K212" t="str">
        <f t="shared" si="46"/>
        <v>06</v>
      </c>
      <c r="L212" s="3">
        <v>2500</v>
      </c>
      <c r="M212" s="5">
        <v>2500</v>
      </c>
      <c r="N212" s="7">
        <v>2500</v>
      </c>
      <c r="O212" s="3">
        <v>0</v>
      </c>
      <c r="P212" s="7">
        <v>41.25</v>
      </c>
      <c r="Q212" s="7">
        <v>0</v>
      </c>
      <c r="R212" s="7">
        <v>0</v>
      </c>
      <c r="S212" s="7">
        <v>0</v>
      </c>
      <c r="T212" s="7">
        <v>2500</v>
      </c>
      <c r="U212" s="3">
        <v>0</v>
      </c>
      <c r="V212" s="7">
        <v>190</v>
      </c>
      <c r="W212" s="7">
        <v>0</v>
      </c>
      <c r="X212" s="3">
        <v>0</v>
      </c>
      <c r="Y212" s="7">
        <v>0</v>
      </c>
    </row>
    <row r="213" spans="1:25" x14ac:dyDescent="0.25">
      <c r="A213" t="s">
        <v>25</v>
      </c>
      <c r="B213" t="s">
        <v>26</v>
      </c>
      <c r="C213" t="str">
        <f t="shared" si="43"/>
        <v>1</v>
      </c>
      <c r="D213" t="s">
        <v>33</v>
      </c>
      <c r="E213" t="str">
        <f>"0120812"</f>
        <v>0120812</v>
      </c>
      <c r="F213" t="s">
        <v>36</v>
      </c>
      <c r="G213" t="str">
        <f>"12704"</f>
        <v>12704</v>
      </c>
      <c r="H213" t="str">
        <f t="shared" si="45"/>
        <v>01</v>
      </c>
      <c r="I213" t="s">
        <v>34</v>
      </c>
      <c r="J213" t="str">
        <f t="shared" si="44"/>
        <v>1101</v>
      </c>
      <c r="K213" t="str">
        <f t="shared" si="46"/>
        <v>06</v>
      </c>
      <c r="L213" s="3">
        <v>50</v>
      </c>
      <c r="M213" s="5">
        <v>50</v>
      </c>
      <c r="N213" s="7">
        <v>50</v>
      </c>
      <c r="O213" s="3">
        <v>0</v>
      </c>
      <c r="P213" s="7">
        <v>0.83</v>
      </c>
      <c r="Q213" s="7">
        <v>0</v>
      </c>
      <c r="R213" s="7">
        <v>0</v>
      </c>
      <c r="S213" s="7">
        <v>0</v>
      </c>
      <c r="T213" s="7">
        <v>50</v>
      </c>
      <c r="U213" s="3">
        <v>0</v>
      </c>
      <c r="V213" s="7">
        <v>3.8</v>
      </c>
      <c r="W213" s="7">
        <v>0</v>
      </c>
      <c r="X213" s="3">
        <v>0</v>
      </c>
      <c r="Y213" s="7">
        <v>0</v>
      </c>
    </row>
    <row r="214" spans="1:25" x14ac:dyDescent="0.25">
      <c r="A214" t="s">
        <v>25</v>
      </c>
      <c r="B214" t="s">
        <v>26</v>
      </c>
      <c r="C214" t="str">
        <f t="shared" si="43"/>
        <v>1</v>
      </c>
      <c r="D214" t="s">
        <v>33</v>
      </c>
      <c r="E214" t="str">
        <f>"0123456"</f>
        <v>0123456</v>
      </c>
      <c r="F214" t="str">
        <f>"11111"</f>
        <v>11111</v>
      </c>
      <c r="G214" t="str">
        <f>"1"</f>
        <v>1</v>
      </c>
      <c r="H214" t="str">
        <f>"55"</f>
        <v>55</v>
      </c>
      <c r="I214" t="s">
        <v>64</v>
      </c>
      <c r="J214" t="str">
        <f t="shared" si="44"/>
        <v>1101</v>
      </c>
      <c r="K214" t="str">
        <f t="shared" si="46"/>
        <v>06</v>
      </c>
      <c r="L214" s="3">
        <v>1</v>
      </c>
      <c r="M214" s="5">
        <v>1</v>
      </c>
      <c r="N214" s="7">
        <v>1</v>
      </c>
      <c r="O214" s="3">
        <v>0</v>
      </c>
      <c r="P214" s="7">
        <v>0.02</v>
      </c>
      <c r="Q214" s="7">
        <v>0</v>
      </c>
      <c r="R214" s="7">
        <v>0</v>
      </c>
      <c r="S214" s="7">
        <v>0</v>
      </c>
      <c r="T214" s="7">
        <v>1</v>
      </c>
      <c r="U214" s="3">
        <v>0</v>
      </c>
      <c r="V214" s="7">
        <v>0.08</v>
      </c>
      <c r="W214" s="7">
        <v>0</v>
      </c>
      <c r="X214" s="3">
        <v>0</v>
      </c>
      <c r="Y214" s="7">
        <v>0</v>
      </c>
    </row>
    <row r="215" spans="1:25" x14ac:dyDescent="0.25">
      <c r="A215" t="s">
        <v>25</v>
      </c>
      <c r="B215" t="s">
        <v>26</v>
      </c>
      <c r="C215" t="str">
        <f t="shared" si="43"/>
        <v>1</v>
      </c>
      <c r="D215" t="str">
        <f>"1"</f>
        <v>1</v>
      </c>
      <c r="E215" t="str">
        <f>"0160801"</f>
        <v>0160801</v>
      </c>
      <c r="F215" t="s">
        <v>38</v>
      </c>
      <c r="G215" t="str">
        <f>"12704"</f>
        <v>12704</v>
      </c>
      <c r="H215" t="str">
        <f t="shared" ref="H215:H247" si="47">"01"</f>
        <v>01</v>
      </c>
      <c r="I215" t="s">
        <v>34</v>
      </c>
      <c r="J215" t="str">
        <f t="shared" si="44"/>
        <v>1101</v>
      </c>
      <c r="K215" t="str">
        <f t="shared" si="46"/>
        <v>06</v>
      </c>
      <c r="L215" s="3">
        <v>1000</v>
      </c>
      <c r="M215" s="5">
        <v>1000</v>
      </c>
      <c r="N215" s="7">
        <v>1000</v>
      </c>
      <c r="O215" s="3">
        <v>0</v>
      </c>
      <c r="P215" s="7">
        <v>16.5</v>
      </c>
      <c r="Q215" s="7">
        <v>0</v>
      </c>
      <c r="R215" s="7">
        <v>0</v>
      </c>
      <c r="S215" s="7">
        <v>0</v>
      </c>
      <c r="T215" s="7">
        <v>1000</v>
      </c>
      <c r="U215" s="3">
        <v>0</v>
      </c>
      <c r="V215" s="7">
        <v>76</v>
      </c>
      <c r="W215" s="7">
        <v>0</v>
      </c>
      <c r="X215" s="3">
        <v>0</v>
      </c>
      <c r="Y215" s="7">
        <v>0</v>
      </c>
    </row>
    <row r="216" spans="1:25" x14ac:dyDescent="0.25">
      <c r="A216" t="s">
        <v>25</v>
      </c>
      <c r="B216" t="s">
        <v>26</v>
      </c>
      <c r="C216" t="str">
        <f t="shared" si="43"/>
        <v>1</v>
      </c>
      <c r="D216" t="str">
        <f>"1"</f>
        <v>1</v>
      </c>
      <c r="E216" t="str">
        <f>"0160810"</f>
        <v>0160810</v>
      </c>
      <c r="F216" t="s">
        <v>40</v>
      </c>
      <c r="G216" t="str">
        <f>"12704"</f>
        <v>12704</v>
      </c>
      <c r="H216" t="str">
        <f t="shared" si="47"/>
        <v>01</v>
      </c>
      <c r="I216" t="s">
        <v>34</v>
      </c>
      <c r="J216" t="str">
        <f t="shared" si="44"/>
        <v>1101</v>
      </c>
      <c r="K216" t="str">
        <f>"99"</f>
        <v>99</v>
      </c>
      <c r="L216" s="3">
        <v>50</v>
      </c>
      <c r="M216" s="5">
        <v>0</v>
      </c>
      <c r="N216" s="7">
        <v>0</v>
      </c>
      <c r="O216" s="3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3">
        <v>0</v>
      </c>
      <c r="V216" s="7">
        <v>0</v>
      </c>
      <c r="W216" s="7">
        <v>0</v>
      </c>
      <c r="X216" s="3">
        <v>0</v>
      </c>
      <c r="Y216" s="7">
        <v>0</v>
      </c>
    </row>
    <row r="217" spans="1:25" x14ac:dyDescent="0.25">
      <c r="A217" t="s">
        <v>25</v>
      </c>
      <c r="B217" t="s">
        <v>26</v>
      </c>
      <c r="C217" t="str">
        <f t="shared" si="43"/>
        <v>1</v>
      </c>
      <c r="D217" t="s">
        <v>33</v>
      </c>
      <c r="E217" t="str">
        <f>"0160811"</f>
        <v>0160811</v>
      </c>
      <c r="F217" t="s">
        <v>36</v>
      </c>
      <c r="G217" t="str">
        <f>"12704"</f>
        <v>12704</v>
      </c>
      <c r="H217" t="str">
        <f t="shared" si="47"/>
        <v>01</v>
      </c>
      <c r="I217" t="s">
        <v>34</v>
      </c>
      <c r="J217" t="str">
        <f t="shared" si="44"/>
        <v>1101</v>
      </c>
      <c r="K217" t="str">
        <f t="shared" ref="K217:K227" si="48">"06"</f>
        <v>06</v>
      </c>
      <c r="L217" s="3">
        <v>320.62</v>
      </c>
      <c r="M217" s="5">
        <v>320.62</v>
      </c>
      <c r="N217" s="7">
        <v>320.62</v>
      </c>
      <c r="O217" s="3">
        <v>0</v>
      </c>
      <c r="P217" s="7">
        <v>5.29</v>
      </c>
      <c r="Q217" s="7">
        <v>0</v>
      </c>
      <c r="R217" s="7">
        <v>0</v>
      </c>
      <c r="S217" s="7">
        <v>0</v>
      </c>
      <c r="T217" s="7">
        <v>320.62</v>
      </c>
      <c r="U217" s="3">
        <v>0</v>
      </c>
      <c r="V217" s="7">
        <v>24.37</v>
      </c>
      <c r="W217" s="7">
        <v>0</v>
      </c>
      <c r="X217" s="3">
        <v>0</v>
      </c>
      <c r="Y217" s="7">
        <v>0</v>
      </c>
    </row>
    <row r="218" spans="1:25" x14ac:dyDescent="0.25">
      <c r="A218" t="s">
        <v>25</v>
      </c>
      <c r="B218" t="s">
        <v>26</v>
      </c>
      <c r="C218" t="str">
        <f t="shared" si="43"/>
        <v>1</v>
      </c>
      <c r="D218" t="s">
        <v>33</v>
      </c>
      <c r="E218" t="str">
        <f>"0220811"</f>
        <v>0220811</v>
      </c>
      <c r="F218" t="str">
        <f>"11111"</f>
        <v>11111</v>
      </c>
      <c r="G218" t="str">
        <f>"1"</f>
        <v>1</v>
      </c>
      <c r="H218" t="str">
        <f t="shared" si="47"/>
        <v>01</v>
      </c>
      <c r="I218" t="s">
        <v>50</v>
      </c>
      <c r="J218" t="str">
        <f t="shared" si="44"/>
        <v>1101</v>
      </c>
      <c r="K218" t="str">
        <f t="shared" si="48"/>
        <v>06</v>
      </c>
      <c r="L218" s="3">
        <v>21000</v>
      </c>
      <c r="M218" s="5">
        <v>20000</v>
      </c>
      <c r="N218" s="7">
        <v>20000</v>
      </c>
      <c r="O218" s="3">
        <v>0</v>
      </c>
      <c r="P218" s="7">
        <v>330</v>
      </c>
      <c r="Q218" s="7">
        <v>0</v>
      </c>
      <c r="R218" s="7">
        <v>0</v>
      </c>
      <c r="S218" s="7">
        <v>0</v>
      </c>
      <c r="T218" s="7">
        <v>20000</v>
      </c>
      <c r="U218" s="3">
        <v>0</v>
      </c>
      <c r="V218" s="7">
        <v>1520</v>
      </c>
      <c r="W218" s="7">
        <v>0</v>
      </c>
      <c r="X218" s="3">
        <v>0</v>
      </c>
      <c r="Y218" s="7">
        <v>0</v>
      </c>
    </row>
    <row r="219" spans="1:25" x14ac:dyDescent="0.25">
      <c r="A219" t="s">
        <v>25</v>
      </c>
      <c r="B219" t="s">
        <v>26</v>
      </c>
      <c r="C219" t="str">
        <f t="shared" si="43"/>
        <v>1</v>
      </c>
      <c r="D219" t="s">
        <v>33</v>
      </c>
      <c r="E219" t="str">
        <f>"0220811"</f>
        <v>0220811</v>
      </c>
      <c r="F219" t="str">
        <f>"11111"</f>
        <v>11111</v>
      </c>
      <c r="G219" t="str">
        <f>"1"</f>
        <v>1</v>
      </c>
      <c r="H219" t="str">
        <f t="shared" si="47"/>
        <v>01</v>
      </c>
      <c r="I219" t="s">
        <v>50</v>
      </c>
      <c r="J219" t="str">
        <f t="shared" si="44"/>
        <v>1101</v>
      </c>
      <c r="K219" t="str">
        <f t="shared" si="48"/>
        <v>06</v>
      </c>
      <c r="L219" s="3">
        <v>5250</v>
      </c>
      <c r="M219" s="5">
        <v>5000</v>
      </c>
      <c r="N219" s="7">
        <v>5000</v>
      </c>
      <c r="O219" s="3">
        <v>0</v>
      </c>
      <c r="P219" s="7">
        <v>82.5</v>
      </c>
      <c r="Q219" s="7">
        <v>0</v>
      </c>
      <c r="R219" s="7">
        <v>0</v>
      </c>
      <c r="S219" s="7">
        <v>0</v>
      </c>
      <c r="T219" s="7">
        <v>5000</v>
      </c>
      <c r="U219" s="3">
        <v>0</v>
      </c>
      <c r="V219" s="7">
        <v>380</v>
      </c>
      <c r="W219" s="7">
        <v>0</v>
      </c>
      <c r="X219" s="3">
        <v>0</v>
      </c>
      <c r="Y219" s="7">
        <v>0</v>
      </c>
    </row>
    <row r="220" spans="1:25" x14ac:dyDescent="0.25">
      <c r="A220" t="s">
        <v>25</v>
      </c>
      <c r="B220" t="s">
        <v>26</v>
      </c>
      <c r="C220" t="str">
        <f t="shared" si="43"/>
        <v>1</v>
      </c>
      <c r="D220" t="s">
        <v>33</v>
      </c>
      <c r="E220" t="str">
        <f>"0220811"</f>
        <v>0220811</v>
      </c>
      <c r="F220" t="str">
        <f>"11111"</f>
        <v>11111</v>
      </c>
      <c r="G220" t="str">
        <f>"12704"</f>
        <v>12704</v>
      </c>
      <c r="H220" t="str">
        <f t="shared" si="47"/>
        <v>01</v>
      </c>
      <c r="I220" t="s">
        <v>34</v>
      </c>
      <c r="J220" t="str">
        <f t="shared" si="44"/>
        <v>1101</v>
      </c>
      <c r="K220" t="str">
        <f t="shared" si="48"/>
        <v>06</v>
      </c>
      <c r="L220" s="3">
        <v>10.5</v>
      </c>
      <c r="M220" s="5">
        <v>10</v>
      </c>
      <c r="N220" s="7">
        <v>10</v>
      </c>
      <c r="O220" s="3">
        <v>0</v>
      </c>
      <c r="P220" s="7">
        <v>0.17</v>
      </c>
      <c r="Q220" s="7">
        <v>0</v>
      </c>
      <c r="R220" s="7">
        <v>0</v>
      </c>
      <c r="S220" s="7">
        <v>0</v>
      </c>
      <c r="T220" s="7">
        <v>10</v>
      </c>
      <c r="U220" s="3">
        <v>0</v>
      </c>
      <c r="V220" s="7">
        <v>0.76</v>
      </c>
      <c r="W220" s="7">
        <v>0</v>
      </c>
      <c r="X220" s="3">
        <v>0</v>
      </c>
      <c r="Y220" s="7">
        <v>0</v>
      </c>
    </row>
    <row r="221" spans="1:25" x14ac:dyDescent="0.25">
      <c r="A221" t="s">
        <v>25</v>
      </c>
      <c r="B221" t="s">
        <v>26</v>
      </c>
      <c r="C221" t="str">
        <f t="shared" si="43"/>
        <v>1</v>
      </c>
      <c r="D221" t="s">
        <v>33</v>
      </c>
      <c r="E221" t="str">
        <f>"0230811"</f>
        <v>0230811</v>
      </c>
      <c r="F221" t="s">
        <v>36</v>
      </c>
      <c r="G221" t="str">
        <f>"12704"</f>
        <v>12704</v>
      </c>
      <c r="H221" t="str">
        <f t="shared" si="47"/>
        <v>01</v>
      </c>
      <c r="I221" t="s">
        <v>34</v>
      </c>
      <c r="J221" t="str">
        <f t="shared" si="44"/>
        <v>1101</v>
      </c>
      <c r="K221" t="str">
        <f t="shared" si="48"/>
        <v>06</v>
      </c>
      <c r="L221" s="3">
        <v>1</v>
      </c>
      <c r="M221" s="5">
        <v>1</v>
      </c>
      <c r="N221" s="7">
        <v>1</v>
      </c>
      <c r="O221" s="3">
        <v>0</v>
      </c>
      <c r="P221" s="7">
        <v>0.02</v>
      </c>
      <c r="Q221" s="7">
        <v>0</v>
      </c>
      <c r="R221" s="7">
        <v>0</v>
      </c>
      <c r="S221" s="7">
        <v>0</v>
      </c>
      <c r="T221" s="7">
        <v>1</v>
      </c>
      <c r="U221" s="3">
        <v>0</v>
      </c>
      <c r="V221" s="7">
        <v>0.08</v>
      </c>
      <c r="W221" s="7">
        <v>0</v>
      </c>
      <c r="X221" s="3">
        <v>0</v>
      </c>
      <c r="Y221" s="7">
        <v>0</v>
      </c>
    </row>
    <row r="222" spans="1:25" x14ac:dyDescent="0.25">
      <c r="A222" t="s">
        <v>25</v>
      </c>
      <c r="B222" t="s">
        <v>26</v>
      </c>
      <c r="C222" t="str">
        <f t="shared" si="43"/>
        <v>1</v>
      </c>
      <c r="D222" t="s">
        <v>33</v>
      </c>
      <c r="E222" t="str">
        <f>"0230811"</f>
        <v>0230811</v>
      </c>
      <c r="F222" t="s">
        <v>65</v>
      </c>
      <c r="G222" t="str">
        <f>"12704"</f>
        <v>12704</v>
      </c>
      <c r="H222" t="str">
        <f t="shared" si="47"/>
        <v>01</v>
      </c>
      <c r="I222" t="s">
        <v>34</v>
      </c>
      <c r="J222" t="str">
        <f t="shared" si="44"/>
        <v>1101</v>
      </c>
      <c r="K222" t="str">
        <f t="shared" si="48"/>
        <v>06</v>
      </c>
      <c r="L222" s="3">
        <v>52.5</v>
      </c>
      <c r="M222" s="5">
        <v>50</v>
      </c>
      <c r="N222" s="7">
        <v>50</v>
      </c>
      <c r="O222" s="3">
        <v>0</v>
      </c>
      <c r="P222" s="7">
        <v>0.83</v>
      </c>
      <c r="Q222" s="7">
        <v>0</v>
      </c>
      <c r="R222" s="7">
        <v>0</v>
      </c>
      <c r="S222" s="7">
        <v>0</v>
      </c>
      <c r="T222" s="7">
        <v>50</v>
      </c>
      <c r="U222" s="3">
        <v>0</v>
      </c>
      <c r="V222" s="7">
        <v>3.18</v>
      </c>
      <c r="W222" s="7">
        <v>0</v>
      </c>
      <c r="X222" s="3">
        <v>0</v>
      </c>
      <c r="Y222" s="7">
        <v>0</v>
      </c>
    </row>
    <row r="223" spans="1:25" x14ac:dyDescent="0.25">
      <c r="A223" t="s">
        <v>25</v>
      </c>
      <c r="B223" t="s">
        <v>26</v>
      </c>
      <c r="C223" t="str">
        <f t="shared" si="43"/>
        <v>1</v>
      </c>
      <c r="D223" t="s">
        <v>33</v>
      </c>
      <c r="E223" t="str">
        <f>"0300811"</f>
        <v>0300811</v>
      </c>
      <c r="F223" t="str">
        <f>"11111"</f>
        <v>11111</v>
      </c>
      <c r="G223" t="str">
        <f>"12704"</f>
        <v>12704</v>
      </c>
      <c r="H223" t="str">
        <f t="shared" si="47"/>
        <v>01</v>
      </c>
      <c r="I223" t="s">
        <v>34</v>
      </c>
      <c r="J223" t="str">
        <f t="shared" si="44"/>
        <v>1101</v>
      </c>
      <c r="K223" t="str">
        <f t="shared" si="48"/>
        <v>06</v>
      </c>
      <c r="L223" s="3">
        <v>10.5</v>
      </c>
      <c r="M223" s="5">
        <v>10</v>
      </c>
      <c r="N223" s="7">
        <v>10</v>
      </c>
      <c r="O223" s="3">
        <v>0</v>
      </c>
      <c r="P223" s="7">
        <v>0.17</v>
      </c>
      <c r="Q223" s="7">
        <v>0</v>
      </c>
      <c r="R223" s="7">
        <v>0</v>
      </c>
      <c r="S223" s="7">
        <v>0</v>
      </c>
      <c r="T223" s="7">
        <v>10</v>
      </c>
      <c r="U223" s="3">
        <v>0</v>
      </c>
      <c r="V223" s="7">
        <v>0.76</v>
      </c>
      <c r="W223" s="7">
        <v>0</v>
      </c>
      <c r="X223" s="3">
        <v>0</v>
      </c>
      <c r="Y223" s="7">
        <v>0</v>
      </c>
    </row>
    <row r="224" spans="1:25" x14ac:dyDescent="0.25">
      <c r="A224" t="s">
        <v>25</v>
      </c>
      <c r="B224" t="s">
        <v>26</v>
      </c>
      <c r="C224" t="str">
        <f t="shared" si="43"/>
        <v>1</v>
      </c>
      <c r="D224" t="s">
        <v>33</v>
      </c>
      <c r="E224" t="str">
        <f>"0340801"</f>
        <v>0340801</v>
      </c>
      <c r="F224" t="s">
        <v>38</v>
      </c>
      <c r="G224" t="str">
        <f>"1"</f>
        <v>1</v>
      </c>
      <c r="H224" t="str">
        <f t="shared" si="47"/>
        <v>01</v>
      </c>
      <c r="I224" t="s">
        <v>34</v>
      </c>
      <c r="J224" t="str">
        <f t="shared" si="44"/>
        <v>1101</v>
      </c>
      <c r="K224" t="str">
        <f t="shared" si="48"/>
        <v>06</v>
      </c>
      <c r="L224" s="3">
        <v>1</v>
      </c>
      <c r="M224" s="5">
        <v>1</v>
      </c>
      <c r="N224" s="7">
        <v>1</v>
      </c>
      <c r="O224" s="3">
        <v>0</v>
      </c>
      <c r="P224" s="7">
        <v>0.02</v>
      </c>
      <c r="Q224" s="7">
        <v>0</v>
      </c>
      <c r="R224" s="7">
        <v>0</v>
      </c>
      <c r="S224" s="7">
        <v>0</v>
      </c>
      <c r="T224" s="7">
        <v>1</v>
      </c>
      <c r="U224" s="3">
        <v>0</v>
      </c>
      <c r="V224" s="7">
        <v>0.08</v>
      </c>
      <c r="W224" s="7">
        <v>0</v>
      </c>
      <c r="X224" s="3">
        <v>0</v>
      </c>
      <c r="Y224" s="7">
        <v>0</v>
      </c>
    </row>
    <row r="225" spans="1:25" x14ac:dyDescent="0.25">
      <c r="A225" t="s">
        <v>25</v>
      </c>
      <c r="B225" t="s">
        <v>26</v>
      </c>
      <c r="C225" t="str">
        <f t="shared" si="43"/>
        <v>1</v>
      </c>
      <c r="D225" t="s">
        <v>33</v>
      </c>
      <c r="E225" t="str">
        <f>"1234567"</f>
        <v>1234567</v>
      </c>
      <c r="F225" t="str">
        <f>"11111"</f>
        <v>11111</v>
      </c>
      <c r="G225" t="str">
        <f t="shared" ref="G225:G244" si="49">"12704"</f>
        <v>12704</v>
      </c>
      <c r="H225" t="str">
        <f t="shared" si="47"/>
        <v>01</v>
      </c>
      <c r="I225" t="s">
        <v>34</v>
      </c>
      <c r="J225" t="str">
        <f t="shared" si="44"/>
        <v>1101</v>
      </c>
      <c r="K225" t="str">
        <f t="shared" si="48"/>
        <v>06</v>
      </c>
      <c r="L225" s="3">
        <v>105</v>
      </c>
      <c r="M225" s="5">
        <v>100</v>
      </c>
      <c r="N225" s="7">
        <v>100</v>
      </c>
      <c r="O225" s="3">
        <v>0</v>
      </c>
      <c r="P225" s="7">
        <v>1.65</v>
      </c>
      <c r="Q225" s="7">
        <v>0</v>
      </c>
      <c r="R225" s="7">
        <v>0</v>
      </c>
      <c r="S225" s="7">
        <v>0</v>
      </c>
      <c r="T225" s="7">
        <v>100</v>
      </c>
      <c r="U225" s="3">
        <v>0</v>
      </c>
      <c r="V225" s="7">
        <v>7.6</v>
      </c>
      <c r="W225" s="7">
        <v>0</v>
      </c>
      <c r="X225" s="3">
        <v>0</v>
      </c>
      <c r="Y225" s="7">
        <v>0</v>
      </c>
    </row>
    <row r="226" spans="1:25" x14ac:dyDescent="0.25">
      <c r="A226" t="s">
        <v>25</v>
      </c>
      <c r="B226" t="s">
        <v>26</v>
      </c>
      <c r="C226" t="str">
        <f t="shared" si="43"/>
        <v>1</v>
      </c>
      <c r="D226" t="str">
        <f>"1"</f>
        <v>1</v>
      </c>
      <c r="E226" t="str">
        <f>"1234567"</f>
        <v>1234567</v>
      </c>
      <c r="F226" t="s">
        <v>66</v>
      </c>
      <c r="G226" t="str">
        <f t="shared" si="49"/>
        <v>12704</v>
      </c>
      <c r="H226" t="str">
        <f t="shared" si="47"/>
        <v>01</v>
      </c>
      <c r="I226" t="s">
        <v>34</v>
      </c>
      <c r="J226" t="str">
        <f t="shared" si="44"/>
        <v>1101</v>
      </c>
      <c r="K226" t="str">
        <f t="shared" si="48"/>
        <v>06</v>
      </c>
      <c r="L226" s="3">
        <v>100000</v>
      </c>
      <c r="M226" s="5">
        <v>100000</v>
      </c>
      <c r="N226" s="7">
        <v>100000</v>
      </c>
      <c r="O226" s="3">
        <v>0</v>
      </c>
      <c r="P226" s="7">
        <v>1650</v>
      </c>
      <c r="Q226" s="7">
        <v>0</v>
      </c>
      <c r="R226" s="7">
        <v>0</v>
      </c>
      <c r="S226" s="7">
        <v>0</v>
      </c>
      <c r="T226" s="7">
        <v>100000</v>
      </c>
      <c r="U226" s="3">
        <v>0</v>
      </c>
      <c r="V226" s="7">
        <v>7600</v>
      </c>
      <c r="W226" s="7">
        <v>0</v>
      </c>
      <c r="X226" s="3">
        <v>0</v>
      </c>
      <c r="Y226" s="7">
        <v>0</v>
      </c>
    </row>
    <row r="227" spans="1:25" x14ac:dyDescent="0.25">
      <c r="A227" t="s">
        <v>25</v>
      </c>
      <c r="B227" t="s">
        <v>26</v>
      </c>
      <c r="C227" t="str">
        <f t="shared" si="43"/>
        <v>1</v>
      </c>
      <c r="D227" t="str">
        <f>"1"</f>
        <v>1</v>
      </c>
      <c r="E227" t="str">
        <f>"1708100"</f>
        <v>1708100</v>
      </c>
      <c r="F227" t="s">
        <v>38</v>
      </c>
      <c r="G227" t="str">
        <f t="shared" si="49"/>
        <v>12704</v>
      </c>
      <c r="H227" t="str">
        <f t="shared" si="47"/>
        <v>01</v>
      </c>
      <c r="I227" t="s">
        <v>34</v>
      </c>
      <c r="J227" t="str">
        <f t="shared" si="44"/>
        <v>1101</v>
      </c>
      <c r="K227" t="str">
        <f t="shared" si="48"/>
        <v>06</v>
      </c>
      <c r="L227" s="3">
        <v>1000</v>
      </c>
      <c r="M227" s="5">
        <v>1000</v>
      </c>
      <c r="N227" s="7">
        <v>1000</v>
      </c>
      <c r="O227" s="3">
        <v>0</v>
      </c>
      <c r="P227" s="7">
        <v>16.5</v>
      </c>
      <c r="Q227" s="7">
        <v>0</v>
      </c>
      <c r="R227" s="7">
        <v>0</v>
      </c>
      <c r="S227" s="7">
        <v>0</v>
      </c>
      <c r="T227" s="7">
        <v>1000</v>
      </c>
      <c r="U227" s="3">
        <v>0</v>
      </c>
      <c r="V227" s="7">
        <v>76</v>
      </c>
      <c r="W227" s="7">
        <v>0</v>
      </c>
      <c r="X227" s="3">
        <v>0</v>
      </c>
      <c r="Y227" s="7">
        <v>0</v>
      </c>
    </row>
    <row r="228" spans="1:25" x14ac:dyDescent="0.25">
      <c r="A228" t="s">
        <v>25</v>
      </c>
      <c r="B228" t="s">
        <v>26</v>
      </c>
      <c r="C228" t="str">
        <f t="shared" si="43"/>
        <v>1</v>
      </c>
      <c r="D228" t="str">
        <f>"1"</f>
        <v>1</v>
      </c>
      <c r="E228" t="str">
        <f>"1708101"</f>
        <v>1708101</v>
      </c>
      <c r="F228" t="s">
        <v>40</v>
      </c>
      <c r="G228" t="str">
        <f t="shared" si="49"/>
        <v>12704</v>
      </c>
      <c r="H228" t="str">
        <f t="shared" si="47"/>
        <v>01</v>
      </c>
      <c r="I228" t="s">
        <v>34</v>
      </c>
      <c r="J228" t="str">
        <f t="shared" si="44"/>
        <v>1101</v>
      </c>
      <c r="K228" t="str">
        <f>"99"</f>
        <v>99</v>
      </c>
      <c r="L228" s="3">
        <v>50</v>
      </c>
      <c r="M228" s="5">
        <v>0</v>
      </c>
      <c r="N228" s="7">
        <v>0</v>
      </c>
      <c r="O228" s="3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3">
        <v>0</v>
      </c>
      <c r="V228" s="7">
        <v>0</v>
      </c>
      <c r="W228" s="7">
        <v>0</v>
      </c>
      <c r="X228" s="3">
        <v>0</v>
      </c>
      <c r="Y228" s="7">
        <v>0</v>
      </c>
    </row>
    <row r="229" spans="1:25" x14ac:dyDescent="0.25">
      <c r="A229" t="s">
        <v>25</v>
      </c>
      <c r="B229" t="s">
        <v>26</v>
      </c>
      <c r="C229" t="str">
        <f t="shared" si="43"/>
        <v>1</v>
      </c>
      <c r="D229" t="s">
        <v>33</v>
      </c>
      <c r="E229" t="str">
        <f>"1908100"</f>
        <v>1908100</v>
      </c>
      <c r="F229" t="s">
        <v>38</v>
      </c>
      <c r="G229" t="str">
        <f t="shared" si="49"/>
        <v>12704</v>
      </c>
      <c r="H229" t="str">
        <f t="shared" si="47"/>
        <v>01</v>
      </c>
      <c r="I229" t="s">
        <v>34</v>
      </c>
      <c r="J229" t="str">
        <f t="shared" si="44"/>
        <v>1101</v>
      </c>
      <c r="K229" t="str">
        <f>"06"</f>
        <v>06</v>
      </c>
      <c r="L229" s="3">
        <v>1000</v>
      </c>
      <c r="M229" s="5">
        <v>1000</v>
      </c>
      <c r="N229" s="7">
        <v>1000</v>
      </c>
      <c r="O229" s="3">
        <v>0</v>
      </c>
      <c r="P229" s="7">
        <v>16.5</v>
      </c>
      <c r="Q229" s="7">
        <v>0</v>
      </c>
      <c r="R229" s="7">
        <v>0</v>
      </c>
      <c r="S229" s="7">
        <v>0</v>
      </c>
      <c r="T229" s="7">
        <v>1000</v>
      </c>
      <c r="U229" s="3">
        <v>0</v>
      </c>
      <c r="V229" s="7">
        <v>76</v>
      </c>
      <c r="W229" s="7">
        <v>0</v>
      </c>
      <c r="X229" s="3">
        <v>0</v>
      </c>
      <c r="Y229" s="7">
        <v>0</v>
      </c>
    </row>
    <row r="230" spans="1:25" x14ac:dyDescent="0.25">
      <c r="A230" t="s">
        <v>25</v>
      </c>
      <c r="B230" t="s">
        <v>26</v>
      </c>
      <c r="C230" t="str">
        <f t="shared" si="43"/>
        <v>1</v>
      </c>
      <c r="D230" t="s">
        <v>33</v>
      </c>
      <c r="E230" t="str">
        <f>"1908101"</f>
        <v>1908101</v>
      </c>
      <c r="F230" t="s">
        <v>40</v>
      </c>
      <c r="G230" t="str">
        <f t="shared" si="49"/>
        <v>12704</v>
      </c>
      <c r="H230" t="str">
        <f t="shared" si="47"/>
        <v>01</v>
      </c>
      <c r="I230" t="s">
        <v>34</v>
      </c>
      <c r="J230" t="str">
        <f t="shared" si="44"/>
        <v>1101</v>
      </c>
      <c r="K230" t="str">
        <f>"99"</f>
        <v>99</v>
      </c>
      <c r="L230" s="3">
        <v>50</v>
      </c>
      <c r="M230" s="5">
        <v>0</v>
      </c>
      <c r="N230" s="7">
        <v>0</v>
      </c>
      <c r="O230" s="3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3">
        <v>0</v>
      </c>
      <c r="V230" s="7">
        <v>0</v>
      </c>
      <c r="W230" s="7">
        <v>0</v>
      </c>
      <c r="X230" s="3">
        <v>0</v>
      </c>
      <c r="Y230" s="7">
        <v>0</v>
      </c>
    </row>
    <row r="231" spans="1:25" x14ac:dyDescent="0.25">
      <c r="A231" t="s">
        <v>25</v>
      </c>
      <c r="B231" t="s">
        <v>26</v>
      </c>
      <c r="C231" t="str">
        <f t="shared" si="43"/>
        <v>1</v>
      </c>
      <c r="D231" t="s">
        <v>33</v>
      </c>
      <c r="E231" t="str">
        <f>"1908150"</f>
        <v>1908150</v>
      </c>
      <c r="F231" t="s">
        <v>38</v>
      </c>
      <c r="G231" t="str">
        <f t="shared" si="49"/>
        <v>12704</v>
      </c>
      <c r="H231" t="str">
        <f t="shared" si="47"/>
        <v>01</v>
      </c>
      <c r="I231" t="s">
        <v>34</v>
      </c>
      <c r="J231" t="str">
        <f t="shared" si="44"/>
        <v>1101</v>
      </c>
      <c r="K231" t="str">
        <f>"06"</f>
        <v>06</v>
      </c>
      <c r="L231" s="3">
        <v>1000</v>
      </c>
      <c r="M231" s="5">
        <v>1000</v>
      </c>
      <c r="N231" s="7">
        <v>1000</v>
      </c>
      <c r="O231" s="3">
        <v>0</v>
      </c>
      <c r="P231" s="7">
        <v>16.5</v>
      </c>
      <c r="Q231" s="7">
        <v>0</v>
      </c>
      <c r="R231" s="7">
        <v>0</v>
      </c>
      <c r="S231" s="7">
        <v>0</v>
      </c>
      <c r="T231" s="7">
        <v>1000</v>
      </c>
      <c r="U231" s="3">
        <v>0</v>
      </c>
      <c r="V231" s="7">
        <v>76</v>
      </c>
      <c r="W231" s="7">
        <v>0</v>
      </c>
      <c r="X231" s="3">
        <v>0</v>
      </c>
      <c r="Y231" s="7">
        <v>0</v>
      </c>
    </row>
    <row r="232" spans="1:25" x14ac:dyDescent="0.25">
      <c r="A232" t="s">
        <v>25</v>
      </c>
      <c r="B232" t="s">
        <v>26</v>
      </c>
      <c r="C232" t="str">
        <f t="shared" si="43"/>
        <v>1</v>
      </c>
      <c r="D232" t="s">
        <v>33</v>
      </c>
      <c r="E232" t="str">
        <f>"1908151"</f>
        <v>1908151</v>
      </c>
      <c r="F232" t="s">
        <v>40</v>
      </c>
      <c r="G232" t="str">
        <f t="shared" si="49"/>
        <v>12704</v>
      </c>
      <c r="H232" t="str">
        <f t="shared" si="47"/>
        <v>01</v>
      </c>
      <c r="I232" t="s">
        <v>34</v>
      </c>
      <c r="J232" t="str">
        <f t="shared" si="44"/>
        <v>1101</v>
      </c>
      <c r="K232" t="str">
        <f>"99"</f>
        <v>99</v>
      </c>
      <c r="L232" s="3">
        <v>50</v>
      </c>
      <c r="M232" s="5">
        <v>0</v>
      </c>
      <c r="N232" s="7">
        <v>0</v>
      </c>
      <c r="O232" s="3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3">
        <v>0</v>
      </c>
      <c r="V232" s="7">
        <v>0</v>
      </c>
      <c r="W232" s="7">
        <v>0</v>
      </c>
      <c r="X232" s="3">
        <v>0</v>
      </c>
      <c r="Y232" s="7">
        <v>0</v>
      </c>
    </row>
    <row r="233" spans="1:25" x14ac:dyDescent="0.25">
      <c r="A233" t="s">
        <v>25</v>
      </c>
      <c r="B233" t="s">
        <v>26</v>
      </c>
      <c r="C233" t="str">
        <f t="shared" si="43"/>
        <v>1</v>
      </c>
      <c r="D233" t="str">
        <f>"1"</f>
        <v>1</v>
      </c>
      <c r="E233" t="str">
        <f>"2202100"</f>
        <v>2202100</v>
      </c>
      <c r="F233" t="s">
        <v>38</v>
      </c>
      <c r="G233" t="str">
        <f t="shared" si="49"/>
        <v>12704</v>
      </c>
      <c r="H233" t="str">
        <f t="shared" si="47"/>
        <v>01</v>
      </c>
      <c r="I233" t="s">
        <v>34</v>
      </c>
      <c r="J233" t="str">
        <f t="shared" si="44"/>
        <v>1101</v>
      </c>
      <c r="K233" t="str">
        <f>"06"</f>
        <v>06</v>
      </c>
      <c r="L233" s="3">
        <v>1000</v>
      </c>
      <c r="M233" s="5">
        <v>1000</v>
      </c>
      <c r="N233" s="7">
        <v>1000</v>
      </c>
      <c r="O233" s="3">
        <v>0</v>
      </c>
      <c r="P233" s="7">
        <v>16.5</v>
      </c>
      <c r="Q233" s="7">
        <v>0</v>
      </c>
      <c r="R233" s="7">
        <v>0</v>
      </c>
      <c r="S233" s="7">
        <v>0</v>
      </c>
      <c r="T233" s="7">
        <v>1000</v>
      </c>
      <c r="U233" s="3">
        <v>0</v>
      </c>
      <c r="V233" s="7">
        <v>76</v>
      </c>
      <c r="W233" s="7">
        <v>0</v>
      </c>
      <c r="X233" s="3">
        <v>0</v>
      </c>
      <c r="Y233" s="7">
        <v>0</v>
      </c>
    </row>
    <row r="234" spans="1:25" x14ac:dyDescent="0.25">
      <c r="A234" t="s">
        <v>25</v>
      </c>
      <c r="B234" t="s">
        <v>26</v>
      </c>
      <c r="C234" t="str">
        <f t="shared" ref="C234:C243" si="50">"1"</f>
        <v>1</v>
      </c>
      <c r="D234" t="s">
        <v>33</v>
      </c>
      <c r="E234" t="str">
        <f>"2208100"</f>
        <v>2208100</v>
      </c>
      <c r="F234" t="s">
        <v>36</v>
      </c>
      <c r="G234" t="str">
        <f t="shared" si="49"/>
        <v>12704</v>
      </c>
      <c r="H234" t="str">
        <f t="shared" si="47"/>
        <v>01</v>
      </c>
      <c r="I234" t="s">
        <v>34</v>
      </c>
      <c r="J234" t="str">
        <f t="shared" ref="J234:J245" si="51">"1101"</f>
        <v>1101</v>
      </c>
      <c r="K234" t="str">
        <f>"06"</f>
        <v>06</v>
      </c>
      <c r="L234" s="3">
        <v>1000</v>
      </c>
      <c r="M234" s="5">
        <v>1000</v>
      </c>
      <c r="N234" s="7">
        <v>1000</v>
      </c>
      <c r="O234" s="3">
        <v>0</v>
      </c>
      <c r="P234" s="7">
        <v>16.5</v>
      </c>
      <c r="Q234" s="7">
        <v>0</v>
      </c>
      <c r="R234" s="7">
        <v>0</v>
      </c>
      <c r="S234" s="7">
        <v>0</v>
      </c>
      <c r="T234" s="7">
        <v>1000</v>
      </c>
      <c r="U234" s="3">
        <v>0</v>
      </c>
      <c r="V234" s="7">
        <v>76</v>
      </c>
      <c r="W234" s="7">
        <v>0</v>
      </c>
      <c r="X234" s="3">
        <v>0</v>
      </c>
      <c r="Y234" s="7">
        <v>0</v>
      </c>
    </row>
    <row r="235" spans="1:25" x14ac:dyDescent="0.25">
      <c r="A235" t="s">
        <v>25</v>
      </c>
      <c r="B235" t="s">
        <v>26</v>
      </c>
      <c r="C235" t="str">
        <f t="shared" si="50"/>
        <v>1</v>
      </c>
      <c r="D235" t="s">
        <v>33</v>
      </c>
      <c r="E235" t="str">
        <f>"2208150"</f>
        <v>2208150</v>
      </c>
      <c r="F235" t="s">
        <v>36</v>
      </c>
      <c r="G235" t="str">
        <f t="shared" si="49"/>
        <v>12704</v>
      </c>
      <c r="H235" t="str">
        <f t="shared" si="47"/>
        <v>01</v>
      </c>
      <c r="I235" t="s">
        <v>34</v>
      </c>
      <c r="J235" t="str">
        <f t="shared" si="51"/>
        <v>1101</v>
      </c>
      <c r="K235" t="str">
        <f>"06"</f>
        <v>06</v>
      </c>
      <c r="L235" s="3">
        <v>10000</v>
      </c>
      <c r="M235" s="5">
        <v>10000</v>
      </c>
      <c r="N235" s="7">
        <v>10000</v>
      </c>
      <c r="O235" s="3">
        <v>0</v>
      </c>
      <c r="P235" s="7">
        <v>165</v>
      </c>
      <c r="Q235" s="7">
        <v>0</v>
      </c>
      <c r="R235" s="7">
        <v>0</v>
      </c>
      <c r="S235" s="7">
        <v>0</v>
      </c>
      <c r="T235" s="7">
        <v>10000</v>
      </c>
      <c r="U235" s="3">
        <v>0</v>
      </c>
      <c r="V235" s="7">
        <v>760</v>
      </c>
      <c r="W235" s="7">
        <v>0</v>
      </c>
      <c r="X235" s="3">
        <v>0</v>
      </c>
      <c r="Y235" s="7">
        <v>0</v>
      </c>
    </row>
    <row r="236" spans="1:25" x14ac:dyDescent="0.25">
      <c r="A236" t="s">
        <v>25</v>
      </c>
      <c r="B236" t="s">
        <v>26</v>
      </c>
      <c r="C236" t="str">
        <f t="shared" si="50"/>
        <v>1</v>
      </c>
      <c r="D236" t="str">
        <f>"1"</f>
        <v>1</v>
      </c>
      <c r="E236" t="str">
        <f>"2208200"</f>
        <v>2208200</v>
      </c>
      <c r="F236" t="s">
        <v>40</v>
      </c>
      <c r="G236" t="str">
        <f t="shared" si="49"/>
        <v>12704</v>
      </c>
      <c r="H236" t="str">
        <f t="shared" si="47"/>
        <v>01</v>
      </c>
      <c r="I236" t="s">
        <v>34</v>
      </c>
      <c r="J236" t="str">
        <f t="shared" si="51"/>
        <v>1101</v>
      </c>
      <c r="K236" t="str">
        <f>"99"</f>
        <v>99</v>
      </c>
      <c r="L236" s="3">
        <v>50</v>
      </c>
      <c r="M236" s="5">
        <v>0</v>
      </c>
      <c r="N236" s="7">
        <v>0</v>
      </c>
      <c r="O236" s="3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3">
        <v>0</v>
      </c>
      <c r="V236" s="7">
        <v>0</v>
      </c>
      <c r="W236" s="7">
        <v>0</v>
      </c>
      <c r="X236" s="3">
        <v>0</v>
      </c>
      <c r="Y236" s="7">
        <v>0</v>
      </c>
    </row>
    <row r="237" spans="1:25" x14ac:dyDescent="0.25">
      <c r="A237" t="s">
        <v>25</v>
      </c>
      <c r="B237" t="s">
        <v>26</v>
      </c>
      <c r="C237" t="str">
        <f t="shared" si="50"/>
        <v>1</v>
      </c>
      <c r="D237" t="s">
        <v>33</v>
      </c>
      <c r="E237" t="str">
        <f>"2408111"</f>
        <v>2408111</v>
      </c>
      <c r="F237" t="s">
        <v>36</v>
      </c>
      <c r="G237" t="str">
        <f t="shared" si="49"/>
        <v>12704</v>
      </c>
      <c r="H237" t="str">
        <f t="shared" si="47"/>
        <v>01</v>
      </c>
      <c r="I237" t="s">
        <v>34</v>
      </c>
      <c r="J237" t="str">
        <f t="shared" si="51"/>
        <v>1101</v>
      </c>
      <c r="K237" t="str">
        <f t="shared" ref="K237:K243" si="52">"06"</f>
        <v>06</v>
      </c>
      <c r="L237" s="3">
        <v>100</v>
      </c>
      <c r="M237" s="5">
        <v>100</v>
      </c>
      <c r="N237" s="7">
        <v>100</v>
      </c>
      <c r="O237" s="3">
        <v>0</v>
      </c>
      <c r="P237" s="7">
        <v>1.65</v>
      </c>
      <c r="Q237" s="7">
        <v>0</v>
      </c>
      <c r="R237" s="7">
        <v>0</v>
      </c>
      <c r="S237" s="7">
        <v>0</v>
      </c>
      <c r="T237" s="7">
        <v>100</v>
      </c>
      <c r="U237" s="3">
        <v>0</v>
      </c>
      <c r="V237" s="7">
        <v>7.6</v>
      </c>
      <c r="W237" s="7">
        <v>0</v>
      </c>
      <c r="X237" s="3">
        <v>0</v>
      </c>
      <c r="Y237" s="7">
        <v>0</v>
      </c>
    </row>
    <row r="238" spans="1:25" x14ac:dyDescent="0.25">
      <c r="A238" t="s">
        <v>25</v>
      </c>
      <c r="B238" t="s">
        <v>26</v>
      </c>
      <c r="C238" t="str">
        <f t="shared" si="50"/>
        <v>1</v>
      </c>
      <c r="D238" t="s">
        <v>33</v>
      </c>
      <c r="E238" t="str">
        <f>"2508001"</f>
        <v>2508001</v>
      </c>
      <c r="F238" t="s">
        <v>36</v>
      </c>
      <c r="G238" t="str">
        <f t="shared" si="49"/>
        <v>12704</v>
      </c>
      <c r="H238" t="str">
        <f t="shared" si="47"/>
        <v>01</v>
      </c>
      <c r="I238" t="s">
        <v>34</v>
      </c>
      <c r="J238" t="str">
        <f t="shared" si="51"/>
        <v>1101</v>
      </c>
      <c r="K238" t="str">
        <f t="shared" si="52"/>
        <v>06</v>
      </c>
      <c r="L238" s="3">
        <v>1000</v>
      </c>
      <c r="M238" s="5">
        <v>1000</v>
      </c>
      <c r="N238" s="7">
        <v>1000</v>
      </c>
      <c r="O238" s="3">
        <v>0</v>
      </c>
      <c r="P238" s="7">
        <v>16.5</v>
      </c>
      <c r="Q238" s="7">
        <v>0</v>
      </c>
      <c r="R238" s="7">
        <v>0</v>
      </c>
      <c r="S238" s="7">
        <v>0</v>
      </c>
      <c r="T238" s="7">
        <v>1000</v>
      </c>
      <c r="U238" s="3">
        <v>0</v>
      </c>
      <c r="V238" s="7">
        <v>76</v>
      </c>
      <c r="W238" s="7">
        <v>0</v>
      </c>
      <c r="X238" s="3">
        <v>0</v>
      </c>
      <c r="Y238" s="7">
        <v>0</v>
      </c>
    </row>
    <row r="239" spans="1:25" x14ac:dyDescent="0.25">
      <c r="A239" t="s">
        <v>25</v>
      </c>
      <c r="B239" t="s">
        <v>26</v>
      </c>
      <c r="C239" t="str">
        <f t="shared" si="50"/>
        <v>1</v>
      </c>
      <c r="D239" t="s">
        <v>33</v>
      </c>
      <c r="E239" t="str">
        <f>"3108001"</f>
        <v>3108001</v>
      </c>
      <c r="F239" t="s">
        <v>38</v>
      </c>
      <c r="G239" t="str">
        <f t="shared" si="49"/>
        <v>12704</v>
      </c>
      <c r="H239" t="str">
        <f t="shared" si="47"/>
        <v>01</v>
      </c>
      <c r="I239" t="s">
        <v>34</v>
      </c>
      <c r="J239" t="str">
        <f t="shared" si="51"/>
        <v>1101</v>
      </c>
      <c r="K239" t="str">
        <f t="shared" si="52"/>
        <v>06</v>
      </c>
      <c r="L239" s="3">
        <v>2500</v>
      </c>
      <c r="M239" s="5">
        <v>2500</v>
      </c>
      <c r="N239" s="7">
        <v>2500</v>
      </c>
      <c r="O239" s="3">
        <v>0</v>
      </c>
      <c r="P239" s="7">
        <v>41.25</v>
      </c>
      <c r="Q239" s="7">
        <v>0</v>
      </c>
      <c r="R239" s="7">
        <v>0</v>
      </c>
      <c r="S239" s="7">
        <v>0</v>
      </c>
      <c r="T239" s="7">
        <v>2500</v>
      </c>
      <c r="U239" s="3">
        <v>0</v>
      </c>
      <c r="V239" s="7">
        <v>190</v>
      </c>
      <c r="W239" s="7">
        <v>0</v>
      </c>
      <c r="X239" s="3">
        <v>0</v>
      </c>
      <c r="Y239" s="7">
        <v>0</v>
      </c>
    </row>
    <row r="240" spans="1:25" x14ac:dyDescent="0.25">
      <c r="A240" t="s">
        <v>25</v>
      </c>
      <c r="B240" t="s">
        <v>26</v>
      </c>
      <c r="C240" t="str">
        <f t="shared" si="50"/>
        <v>1</v>
      </c>
      <c r="D240" t="s">
        <v>33</v>
      </c>
      <c r="E240" t="str">
        <f>"6220911"</f>
        <v>6220911</v>
      </c>
      <c r="F240" t="str">
        <f>"11111"</f>
        <v>11111</v>
      </c>
      <c r="G240" t="str">
        <f t="shared" si="49"/>
        <v>12704</v>
      </c>
      <c r="H240" t="str">
        <f t="shared" si="47"/>
        <v>01</v>
      </c>
      <c r="I240" t="s">
        <v>34</v>
      </c>
      <c r="J240" t="str">
        <f t="shared" si="51"/>
        <v>1101</v>
      </c>
      <c r="K240" t="str">
        <f t="shared" si="52"/>
        <v>06</v>
      </c>
      <c r="L240" s="3">
        <v>630</v>
      </c>
      <c r="M240" s="5">
        <v>600</v>
      </c>
      <c r="N240" s="7">
        <v>600</v>
      </c>
      <c r="O240" s="3">
        <v>0</v>
      </c>
      <c r="P240" s="7">
        <v>9.9</v>
      </c>
      <c r="Q240" s="7">
        <v>0</v>
      </c>
      <c r="R240" s="7">
        <v>0</v>
      </c>
      <c r="S240" s="7">
        <v>0</v>
      </c>
      <c r="T240" s="7">
        <v>600</v>
      </c>
      <c r="U240" s="3">
        <v>0</v>
      </c>
      <c r="V240" s="7">
        <v>45.6</v>
      </c>
      <c r="W240" s="7">
        <v>0</v>
      </c>
      <c r="X240" s="3">
        <v>0</v>
      </c>
      <c r="Y240" s="7">
        <v>0</v>
      </c>
    </row>
    <row r="241" spans="1:25" x14ac:dyDescent="0.25">
      <c r="A241" t="s">
        <v>25</v>
      </c>
      <c r="B241" t="s">
        <v>26</v>
      </c>
      <c r="C241" t="str">
        <f t="shared" si="50"/>
        <v>1</v>
      </c>
      <c r="D241" t="s">
        <v>33</v>
      </c>
      <c r="E241" t="str">
        <f>"6220911"</f>
        <v>6220911</v>
      </c>
      <c r="F241" t="str">
        <f>"11111"</f>
        <v>11111</v>
      </c>
      <c r="G241" t="str">
        <f t="shared" si="49"/>
        <v>12704</v>
      </c>
      <c r="H241" t="str">
        <f t="shared" si="47"/>
        <v>01</v>
      </c>
      <c r="I241" t="s">
        <v>34</v>
      </c>
      <c r="J241" t="str">
        <f t="shared" si="51"/>
        <v>1101</v>
      </c>
      <c r="K241" t="str">
        <f t="shared" si="52"/>
        <v>06</v>
      </c>
      <c r="L241" s="3">
        <v>105</v>
      </c>
      <c r="M241" s="5">
        <v>100</v>
      </c>
      <c r="N241" s="7">
        <v>100</v>
      </c>
      <c r="O241" s="3">
        <v>0</v>
      </c>
      <c r="P241" s="7">
        <v>1.65</v>
      </c>
      <c r="Q241" s="7">
        <v>0</v>
      </c>
      <c r="R241" s="7">
        <v>0</v>
      </c>
      <c r="S241" s="7">
        <v>0</v>
      </c>
      <c r="T241" s="7">
        <v>100</v>
      </c>
      <c r="U241" s="3">
        <v>0</v>
      </c>
      <c r="V241" s="7">
        <v>7.6</v>
      </c>
      <c r="W241" s="7">
        <v>0</v>
      </c>
      <c r="X241" s="3">
        <v>0</v>
      </c>
      <c r="Y241" s="7">
        <v>0</v>
      </c>
    </row>
    <row r="242" spans="1:25" x14ac:dyDescent="0.25">
      <c r="A242" t="s">
        <v>25</v>
      </c>
      <c r="B242" t="s">
        <v>26</v>
      </c>
      <c r="C242" t="str">
        <f t="shared" si="50"/>
        <v>1</v>
      </c>
      <c r="D242" t="s">
        <v>33</v>
      </c>
      <c r="E242" t="str">
        <f>"9300811"</f>
        <v>9300811</v>
      </c>
      <c r="F242" t="str">
        <f>"11111"</f>
        <v>11111</v>
      </c>
      <c r="G242" t="str">
        <f t="shared" si="49"/>
        <v>12704</v>
      </c>
      <c r="H242" t="str">
        <f t="shared" si="47"/>
        <v>01</v>
      </c>
      <c r="I242" t="s">
        <v>34</v>
      </c>
      <c r="J242" t="str">
        <f t="shared" si="51"/>
        <v>1101</v>
      </c>
      <c r="K242" t="str">
        <f t="shared" si="52"/>
        <v>06</v>
      </c>
      <c r="L242" s="3">
        <v>52.5</v>
      </c>
      <c r="M242" s="5">
        <v>50</v>
      </c>
      <c r="N242" s="7">
        <v>50</v>
      </c>
      <c r="O242" s="3">
        <v>0</v>
      </c>
      <c r="P242" s="7">
        <v>0.83</v>
      </c>
      <c r="Q242" s="7">
        <v>0</v>
      </c>
      <c r="R242" s="7">
        <v>0</v>
      </c>
      <c r="S242" s="7">
        <v>0</v>
      </c>
      <c r="T242" s="7">
        <v>50</v>
      </c>
      <c r="U242" s="3">
        <v>0</v>
      </c>
      <c r="V242" s="7">
        <v>3.8</v>
      </c>
      <c r="W242" s="7">
        <v>0</v>
      </c>
      <c r="X242" s="3">
        <v>0</v>
      </c>
      <c r="Y242" s="7">
        <v>0</v>
      </c>
    </row>
    <row r="243" spans="1:25" x14ac:dyDescent="0.25">
      <c r="A243" t="s">
        <v>25</v>
      </c>
      <c r="B243" t="s">
        <v>26</v>
      </c>
      <c r="C243" t="str">
        <f t="shared" si="50"/>
        <v>1</v>
      </c>
      <c r="D243" t="s">
        <v>33</v>
      </c>
      <c r="E243" t="str">
        <f>"9990811"</f>
        <v>9990811</v>
      </c>
      <c r="F243" t="s">
        <v>36</v>
      </c>
      <c r="G243" t="str">
        <f t="shared" si="49"/>
        <v>12704</v>
      </c>
      <c r="H243" t="str">
        <f t="shared" si="47"/>
        <v>01</v>
      </c>
      <c r="I243" t="s">
        <v>34</v>
      </c>
      <c r="J243" t="str">
        <f t="shared" si="51"/>
        <v>1101</v>
      </c>
      <c r="K243" t="str">
        <f t="shared" si="52"/>
        <v>06</v>
      </c>
      <c r="L243" s="3">
        <v>10</v>
      </c>
      <c r="M243" s="5">
        <v>10</v>
      </c>
      <c r="N243" s="7">
        <v>10</v>
      </c>
      <c r="O243" s="3">
        <v>0</v>
      </c>
      <c r="P243" s="7">
        <v>0.17</v>
      </c>
      <c r="Q243" s="7">
        <v>0</v>
      </c>
      <c r="R243" s="7">
        <v>0</v>
      </c>
      <c r="S243" s="7">
        <v>0</v>
      </c>
      <c r="T243" s="7">
        <v>10</v>
      </c>
      <c r="U243" s="3">
        <v>0</v>
      </c>
      <c r="V243" s="7">
        <v>0.76</v>
      </c>
      <c r="W243" s="7">
        <v>0</v>
      </c>
      <c r="X243" s="3">
        <v>0</v>
      </c>
      <c r="Y243" s="7">
        <v>0</v>
      </c>
    </row>
    <row r="244" spans="1:25" x14ac:dyDescent="0.25">
      <c r="A244" t="s">
        <v>25</v>
      </c>
      <c r="B244" t="s">
        <v>26</v>
      </c>
      <c r="C244" t="str">
        <f>"10000"</f>
        <v>10000</v>
      </c>
      <c r="D244" t="str">
        <f>"1"</f>
        <v>1</v>
      </c>
      <c r="E244" t="str">
        <f>"0001433"</f>
        <v>0001433</v>
      </c>
      <c r="F244" t="str">
        <f>"11111"</f>
        <v>11111</v>
      </c>
      <c r="G244" t="str">
        <f t="shared" si="49"/>
        <v>12704</v>
      </c>
      <c r="H244" t="str">
        <f t="shared" si="47"/>
        <v>01</v>
      </c>
      <c r="I244" t="s">
        <v>45</v>
      </c>
      <c r="J244" t="str">
        <f t="shared" si="51"/>
        <v>1101</v>
      </c>
      <c r="K244" t="str">
        <f>"07"</f>
        <v>07</v>
      </c>
      <c r="L244" s="3">
        <v>1166.55</v>
      </c>
      <c r="M244" s="5">
        <v>0</v>
      </c>
      <c r="N244" s="7">
        <v>1111</v>
      </c>
      <c r="O244" s="3">
        <v>0</v>
      </c>
      <c r="P244" s="7">
        <v>0</v>
      </c>
      <c r="Q244" s="7">
        <v>0</v>
      </c>
      <c r="R244" s="7">
        <v>0</v>
      </c>
      <c r="S244" s="7">
        <v>0</v>
      </c>
      <c r="T244" s="7">
        <v>1111</v>
      </c>
      <c r="U244" s="3">
        <v>0</v>
      </c>
      <c r="V244" s="7">
        <v>0</v>
      </c>
      <c r="W244" s="7">
        <v>0</v>
      </c>
      <c r="X244" s="3">
        <v>0</v>
      </c>
      <c r="Y244" s="7">
        <v>0</v>
      </c>
    </row>
    <row r="245" spans="1:25" x14ac:dyDescent="0.25">
      <c r="A245" t="s">
        <v>25</v>
      </c>
      <c r="B245" t="s">
        <v>26</v>
      </c>
      <c r="C245" t="str">
        <f>"10000"</f>
        <v>10000</v>
      </c>
      <c r="D245" t="s">
        <v>33</v>
      </c>
      <c r="E245" t="str">
        <f>"0180810"</f>
        <v>0180810</v>
      </c>
      <c r="F245" t="str">
        <f>"11111"</f>
        <v>11111</v>
      </c>
      <c r="G245" t="str">
        <f>"40001"</f>
        <v>40001</v>
      </c>
      <c r="H245" t="str">
        <f t="shared" si="47"/>
        <v>01</v>
      </c>
      <c r="I245" t="s">
        <v>62</v>
      </c>
      <c r="J245" t="str">
        <f t="shared" si="51"/>
        <v>1101</v>
      </c>
      <c r="K245" t="str">
        <f>"07"</f>
        <v>07</v>
      </c>
      <c r="L245" s="3">
        <v>0</v>
      </c>
      <c r="M245" s="5">
        <v>0</v>
      </c>
      <c r="N245" s="7">
        <v>85</v>
      </c>
      <c r="O245" s="3">
        <v>0</v>
      </c>
      <c r="P245" s="7">
        <v>0</v>
      </c>
      <c r="Q245" s="7">
        <v>0</v>
      </c>
      <c r="R245" s="7">
        <v>0</v>
      </c>
      <c r="S245" s="7">
        <v>0</v>
      </c>
      <c r="T245" s="7">
        <v>85</v>
      </c>
      <c r="U245" s="3">
        <v>0</v>
      </c>
      <c r="V245" s="7">
        <v>0</v>
      </c>
      <c r="W245" s="7">
        <v>0</v>
      </c>
      <c r="X245" s="3">
        <v>0</v>
      </c>
      <c r="Y245" s="7">
        <v>0</v>
      </c>
    </row>
    <row r="246" spans="1:25" x14ac:dyDescent="0.25">
      <c r="A246" t="s">
        <v>25</v>
      </c>
      <c r="B246" t="s">
        <v>26</v>
      </c>
      <c r="C246" t="str">
        <f t="shared" ref="C246:C277" si="53">"1"</f>
        <v>1</v>
      </c>
      <c r="D246" t="s">
        <v>33</v>
      </c>
      <c r="E246" t="str">
        <f>"0240811"</f>
        <v>0240811</v>
      </c>
      <c r="F246" t="str">
        <f>"19402"</f>
        <v>19402</v>
      </c>
      <c r="G246" t="str">
        <f>"12704"</f>
        <v>12704</v>
      </c>
      <c r="H246" t="str">
        <f t="shared" si="47"/>
        <v>01</v>
      </c>
      <c r="I246" t="s">
        <v>62</v>
      </c>
      <c r="J246" t="str">
        <f>"1124"</f>
        <v>1124</v>
      </c>
      <c r="K246" t="str">
        <f>"06"</f>
        <v>06</v>
      </c>
      <c r="L246" s="3">
        <v>500</v>
      </c>
      <c r="M246" s="5">
        <v>500</v>
      </c>
      <c r="N246" s="7">
        <v>500</v>
      </c>
      <c r="O246" s="3">
        <v>0</v>
      </c>
      <c r="P246" s="7">
        <v>8.25</v>
      </c>
      <c r="Q246" s="7">
        <v>0</v>
      </c>
      <c r="R246" s="7">
        <v>0</v>
      </c>
      <c r="S246" s="7">
        <v>0</v>
      </c>
      <c r="T246" s="7">
        <v>500</v>
      </c>
      <c r="U246" s="3">
        <v>0</v>
      </c>
      <c r="V246" s="7">
        <v>38</v>
      </c>
      <c r="W246" s="7">
        <v>0</v>
      </c>
      <c r="X246" s="3">
        <v>0</v>
      </c>
      <c r="Y246" s="7">
        <v>0</v>
      </c>
    </row>
    <row r="247" spans="1:25" x14ac:dyDescent="0.25">
      <c r="A247" t="s">
        <v>25</v>
      </c>
      <c r="B247" t="s">
        <v>26</v>
      </c>
      <c r="C247" t="str">
        <f t="shared" si="53"/>
        <v>1</v>
      </c>
      <c r="D247" t="s">
        <v>33</v>
      </c>
      <c r="E247" t="str">
        <f>"0240811"</f>
        <v>0240811</v>
      </c>
      <c r="F247" t="str">
        <f>"19401"</f>
        <v>19401</v>
      </c>
      <c r="G247" t="str">
        <f>"12704"</f>
        <v>12704</v>
      </c>
      <c r="H247" t="str">
        <f t="shared" si="47"/>
        <v>01</v>
      </c>
      <c r="I247" t="s">
        <v>37</v>
      </c>
      <c r="J247" t="str">
        <f>"1124"</f>
        <v>1124</v>
      </c>
      <c r="K247" t="str">
        <f>"06"</f>
        <v>06</v>
      </c>
      <c r="L247" s="3">
        <v>247</v>
      </c>
      <c r="M247" s="5">
        <v>247</v>
      </c>
      <c r="N247" s="7">
        <v>247</v>
      </c>
      <c r="O247" s="3">
        <v>0</v>
      </c>
      <c r="P247" s="7">
        <v>4.08</v>
      </c>
      <c r="Q247" s="7">
        <v>0</v>
      </c>
      <c r="R247" s="7">
        <v>0</v>
      </c>
      <c r="S247" s="7">
        <v>0</v>
      </c>
      <c r="T247" s="7">
        <v>247</v>
      </c>
      <c r="U247" s="3">
        <v>0</v>
      </c>
      <c r="V247" s="7">
        <v>18.77</v>
      </c>
      <c r="W247" s="7">
        <v>0</v>
      </c>
      <c r="X247" s="3">
        <v>0</v>
      </c>
      <c r="Y247" s="7">
        <v>0</v>
      </c>
    </row>
    <row r="248" spans="1:25" x14ac:dyDescent="0.25">
      <c r="A248" t="s">
        <v>25</v>
      </c>
      <c r="B248" t="s">
        <v>26</v>
      </c>
      <c r="C248" t="str">
        <f t="shared" si="53"/>
        <v>1</v>
      </c>
      <c r="D248" t="str">
        <f>"1"</f>
        <v>1</v>
      </c>
      <c r="E248" t="str">
        <f>"0001148"</f>
        <v>0001148</v>
      </c>
      <c r="F248" t="str">
        <f>"1352"</f>
        <v>1352</v>
      </c>
      <c r="G248" t="str">
        <f>"1"</f>
        <v>1</v>
      </c>
      <c r="H248" t="str">
        <f>"55"</f>
        <v>55</v>
      </c>
      <c r="I248" t="s">
        <v>67</v>
      </c>
      <c r="J248" t="str">
        <f>"1352"</f>
        <v>1352</v>
      </c>
      <c r="K248" t="str">
        <f>"99"</f>
        <v>99</v>
      </c>
      <c r="L248" s="3">
        <v>100</v>
      </c>
      <c r="M248" s="5">
        <v>100</v>
      </c>
      <c r="N248" s="7">
        <v>0</v>
      </c>
      <c r="O248" s="3">
        <v>1.65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3">
        <v>7.6</v>
      </c>
      <c r="V248" s="7">
        <v>0</v>
      </c>
      <c r="W248" s="7">
        <v>0</v>
      </c>
      <c r="X248" s="3">
        <v>0</v>
      </c>
      <c r="Y248" s="7">
        <v>0</v>
      </c>
    </row>
    <row r="249" spans="1:25" x14ac:dyDescent="0.25">
      <c r="A249" t="s">
        <v>25</v>
      </c>
      <c r="B249" t="s">
        <v>26</v>
      </c>
      <c r="C249" t="str">
        <f t="shared" si="53"/>
        <v>1</v>
      </c>
      <c r="D249" t="str">
        <f>"1"</f>
        <v>1</v>
      </c>
      <c r="E249" t="str">
        <f>"0001153"</f>
        <v>0001153</v>
      </c>
      <c r="F249" t="str">
        <f>"1352"</f>
        <v>1352</v>
      </c>
      <c r="G249" t="str">
        <f>"1"</f>
        <v>1</v>
      </c>
      <c r="H249" t="str">
        <f>"55"</f>
        <v>55</v>
      </c>
      <c r="I249" t="s">
        <v>67</v>
      </c>
      <c r="J249" t="str">
        <f>"1352"</f>
        <v>1352</v>
      </c>
      <c r="K249" t="str">
        <f>"99"</f>
        <v>99</v>
      </c>
      <c r="L249" s="3">
        <v>200</v>
      </c>
      <c r="M249" s="5">
        <v>200</v>
      </c>
      <c r="N249" s="7">
        <v>0</v>
      </c>
      <c r="O249" s="3">
        <v>1.65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3">
        <v>7.6</v>
      </c>
      <c r="V249" s="7">
        <v>0</v>
      </c>
      <c r="W249" s="7">
        <v>0</v>
      </c>
      <c r="X249" s="3">
        <v>0</v>
      </c>
      <c r="Y249" s="7">
        <v>0</v>
      </c>
    </row>
    <row r="250" spans="1:25" x14ac:dyDescent="0.25">
      <c r="A250" t="s">
        <v>25</v>
      </c>
      <c r="B250" t="s">
        <v>26</v>
      </c>
      <c r="C250" t="str">
        <f t="shared" si="53"/>
        <v>1</v>
      </c>
      <c r="D250" t="str">
        <f>"100"</f>
        <v>100</v>
      </c>
      <c r="E250" t="str">
        <f>"0001111"</f>
        <v>0001111</v>
      </c>
      <c r="F250" t="s">
        <v>68</v>
      </c>
      <c r="G250" t="str">
        <f>"1"</f>
        <v>1</v>
      </c>
      <c r="H250" t="str">
        <f t="shared" ref="H250:H281" si="54">"01"</f>
        <v>01</v>
      </c>
      <c r="I250" t="s">
        <v>50</v>
      </c>
      <c r="J250" t="str">
        <f>"1551"</f>
        <v>1551</v>
      </c>
      <c r="K250" t="str">
        <f>"09"</f>
        <v>09</v>
      </c>
      <c r="L250" s="3">
        <v>2.1</v>
      </c>
      <c r="M250" s="5">
        <v>2</v>
      </c>
      <c r="N250" s="7">
        <v>2</v>
      </c>
      <c r="O250" s="3">
        <v>0</v>
      </c>
      <c r="P250" s="7">
        <v>0</v>
      </c>
      <c r="Q250" s="7">
        <v>0</v>
      </c>
      <c r="R250" s="7">
        <v>0</v>
      </c>
      <c r="S250" s="7">
        <v>0</v>
      </c>
      <c r="T250" s="7">
        <v>2</v>
      </c>
      <c r="U250" s="3">
        <v>0</v>
      </c>
      <c r="V250" s="7">
        <v>0</v>
      </c>
      <c r="W250" s="7">
        <v>0</v>
      </c>
      <c r="X250" s="3">
        <v>0</v>
      </c>
      <c r="Y250" s="7">
        <v>0</v>
      </c>
    </row>
    <row r="251" spans="1:25" x14ac:dyDescent="0.25">
      <c r="A251" t="s">
        <v>25</v>
      </c>
      <c r="B251" t="s">
        <v>26</v>
      </c>
      <c r="C251" t="str">
        <f t="shared" si="53"/>
        <v>1</v>
      </c>
      <c r="D251" t="str">
        <f t="shared" ref="D251:D259" si="55">"1"</f>
        <v>1</v>
      </c>
      <c r="E251" t="str">
        <f>"0001314"</f>
        <v>0001314</v>
      </c>
      <c r="F251" t="s">
        <v>69</v>
      </c>
      <c r="G251" t="str">
        <f t="shared" ref="G251:G276" si="56">"12704"</f>
        <v>12704</v>
      </c>
      <c r="H251" t="str">
        <f t="shared" si="54"/>
        <v>01</v>
      </c>
      <c r="I251" t="s">
        <v>34</v>
      </c>
      <c r="J251" t="str">
        <f t="shared" ref="J251:J274" si="57">"1902"</f>
        <v>1902</v>
      </c>
      <c r="K251" t="str">
        <f t="shared" ref="K251:K268" si="58">"99"</f>
        <v>99</v>
      </c>
      <c r="L251" s="3">
        <v>2.2000000000000002</v>
      </c>
      <c r="M251" s="5">
        <v>0</v>
      </c>
      <c r="N251" s="7">
        <v>0</v>
      </c>
      <c r="O251" s="3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3">
        <v>0</v>
      </c>
      <c r="V251" s="7">
        <v>0</v>
      </c>
      <c r="W251" s="7">
        <v>0</v>
      </c>
      <c r="X251" s="3">
        <v>0</v>
      </c>
      <c r="Y251" s="7">
        <v>0</v>
      </c>
    </row>
    <row r="252" spans="1:25" x14ac:dyDescent="0.25">
      <c r="A252" t="s">
        <v>25</v>
      </c>
      <c r="B252" t="s">
        <v>26</v>
      </c>
      <c r="C252" t="str">
        <f t="shared" si="53"/>
        <v>1</v>
      </c>
      <c r="D252" t="str">
        <f t="shared" si="55"/>
        <v>1</v>
      </c>
      <c r="E252" t="str">
        <f>"0001335"</f>
        <v>0001335</v>
      </c>
      <c r="F252" t="s">
        <v>70</v>
      </c>
      <c r="G252" t="str">
        <f t="shared" si="56"/>
        <v>12704</v>
      </c>
      <c r="H252" t="str">
        <f t="shared" si="54"/>
        <v>01</v>
      </c>
      <c r="I252" t="s">
        <v>41</v>
      </c>
      <c r="J252" t="str">
        <f t="shared" si="57"/>
        <v>1902</v>
      </c>
      <c r="K252" t="str">
        <f t="shared" si="58"/>
        <v>99</v>
      </c>
      <c r="L252" s="3">
        <v>7</v>
      </c>
      <c r="M252" s="5">
        <v>0</v>
      </c>
      <c r="N252" s="7">
        <v>0</v>
      </c>
      <c r="O252" s="3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3">
        <v>0</v>
      </c>
      <c r="V252" s="7">
        <v>0</v>
      </c>
      <c r="W252" s="7">
        <v>0</v>
      </c>
      <c r="X252" s="3">
        <v>0</v>
      </c>
      <c r="Y252" s="7">
        <v>0</v>
      </c>
    </row>
    <row r="253" spans="1:25" x14ac:dyDescent="0.25">
      <c r="A253" t="s">
        <v>25</v>
      </c>
      <c r="B253" t="s">
        <v>26</v>
      </c>
      <c r="C253" t="str">
        <f t="shared" si="53"/>
        <v>1</v>
      </c>
      <c r="D253" t="str">
        <f t="shared" si="55"/>
        <v>1</v>
      </c>
      <c r="E253" t="str">
        <f>"0001337"</f>
        <v>0001337</v>
      </c>
      <c r="F253" t="s">
        <v>70</v>
      </c>
      <c r="G253" t="str">
        <f t="shared" si="56"/>
        <v>12704</v>
      </c>
      <c r="H253" t="str">
        <f t="shared" si="54"/>
        <v>01</v>
      </c>
      <c r="I253" t="s">
        <v>41</v>
      </c>
      <c r="J253" t="str">
        <f t="shared" si="57"/>
        <v>1902</v>
      </c>
      <c r="K253" t="str">
        <f t="shared" si="58"/>
        <v>99</v>
      </c>
      <c r="L253" s="3">
        <v>19.8</v>
      </c>
      <c r="M253" s="5">
        <v>0</v>
      </c>
      <c r="N253" s="7">
        <v>0</v>
      </c>
      <c r="O253" s="3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3">
        <v>0</v>
      </c>
      <c r="V253" s="7">
        <v>0</v>
      </c>
      <c r="W253" s="7">
        <v>0</v>
      </c>
      <c r="X253" s="3">
        <v>0</v>
      </c>
      <c r="Y253" s="7">
        <v>0</v>
      </c>
    </row>
    <row r="254" spans="1:25" x14ac:dyDescent="0.25">
      <c r="A254" t="s">
        <v>25</v>
      </c>
      <c r="B254" t="s">
        <v>26</v>
      </c>
      <c r="C254" t="str">
        <f t="shared" si="53"/>
        <v>1</v>
      </c>
      <c r="D254" t="str">
        <f t="shared" si="55"/>
        <v>1</v>
      </c>
      <c r="E254" t="str">
        <f>"0001347"</f>
        <v>0001347</v>
      </c>
      <c r="F254" t="s">
        <v>70</v>
      </c>
      <c r="G254" t="str">
        <f t="shared" si="56"/>
        <v>12704</v>
      </c>
      <c r="H254" t="str">
        <f t="shared" si="54"/>
        <v>01</v>
      </c>
      <c r="I254" t="s">
        <v>34</v>
      </c>
      <c r="J254" t="str">
        <f t="shared" si="57"/>
        <v>1902</v>
      </c>
      <c r="K254" t="str">
        <f t="shared" si="58"/>
        <v>99</v>
      </c>
      <c r="L254" s="3">
        <v>20</v>
      </c>
      <c r="M254" s="5">
        <v>0</v>
      </c>
      <c r="N254" s="7">
        <v>0</v>
      </c>
      <c r="O254" s="3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3">
        <v>0</v>
      </c>
      <c r="V254" s="7">
        <v>0</v>
      </c>
      <c r="W254" s="7">
        <v>0</v>
      </c>
      <c r="X254" s="3">
        <v>0</v>
      </c>
      <c r="Y254" s="7">
        <v>0</v>
      </c>
    </row>
    <row r="255" spans="1:25" x14ac:dyDescent="0.25">
      <c r="A255" t="s">
        <v>25</v>
      </c>
      <c r="B255" t="s">
        <v>26</v>
      </c>
      <c r="C255" t="str">
        <f t="shared" si="53"/>
        <v>1</v>
      </c>
      <c r="D255" t="str">
        <f t="shared" si="55"/>
        <v>1</v>
      </c>
      <c r="E255" t="str">
        <f>"0001375"</f>
        <v>0001375</v>
      </c>
      <c r="F255" t="s">
        <v>70</v>
      </c>
      <c r="G255" t="str">
        <f t="shared" si="56"/>
        <v>12704</v>
      </c>
      <c r="H255" t="str">
        <f t="shared" si="54"/>
        <v>01</v>
      </c>
      <c r="I255" t="s">
        <v>34</v>
      </c>
      <c r="J255" t="str">
        <f t="shared" si="57"/>
        <v>1902</v>
      </c>
      <c r="K255" t="str">
        <f t="shared" si="58"/>
        <v>99</v>
      </c>
      <c r="L255" s="3">
        <v>8</v>
      </c>
      <c r="M255" s="5">
        <v>0</v>
      </c>
      <c r="N255" s="7">
        <v>0</v>
      </c>
      <c r="O255" s="3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3">
        <v>0</v>
      </c>
      <c r="V255" s="7">
        <v>0</v>
      </c>
      <c r="W255" s="7">
        <v>0</v>
      </c>
      <c r="X255" s="3">
        <v>0</v>
      </c>
      <c r="Y255" s="7">
        <v>0</v>
      </c>
    </row>
    <row r="256" spans="1:25" x14ac:dyDescent="0.25">
      <c r="A256" t="s">
        <v>25</v>
      </c>
      <c r="B256" t="s">
        <v>26</v>
      </c>
      <c r="C256" t="str">
        <f t="shared" si="53"/>
        <v>1</v>
      </c>
      <c r="D256" t="str">
        <f t="shared" si="55"/>
        <v>1</v>
      </c>
      <c r="E256" t="str">
        <f>"0001389"</f>
        <v>0001389</v>
      </c>
      <c r="F256" t="s">
        <v>70</v>
      </c>
      <c r="G256" t="str">
        <f t="shared" si="56"/>
        <v>12704</v>
      </c>
      <c r="H256" t="str">
        <f t="shared" si="54"/>
        <v>01</v>
      </c>
      <c r="I256" t="s">
        <v>34</v>
      </c>
      <c r="J256" t="str">
        <f t="shared" si="57"/>
        <v>1902</v>
      </c>
      <c r="K256" t="str">
        <f t="shared" si="58"/>
        <v>99</v>
      </c>
      <c r="L256" s="3">
        <v>12</v>
      </c>
      <c r="M256" s="5">
        <v>0</v>
      </c>
      <c r="N256" s="7">
        <v>0</v>
      </c>
      <c r="O256" s="3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3">
        <v>0</v>
      </c>
      <c r="V256" s="7">
        <v>0</v>
      </c>
      <c r="W256" s="7">
        <v>0</v>
      </c>
      <c r="X256" s="3">
        <v>0</v>
      </c>
      <c r="Y256" s="7">
        <v>0</v>
      </c>
    </row>
    <row r="257" spans="1:25" x14ac:dyDescent="0.25">
      <c r="A257" t="s">
        <v>25</v>
      </c>
      <c r="B257" t="s">
        <v>26</v>
      </c>
      <c r="C257" t="str">
        <f t="shared" si="53"/>
        <v>1</v>
      </c>
      <c r="D257" t="str">
        <f t="shared" si="55"/>
        <v>1</v>
      </c>
      <c r="E257" t="str">
        <f>"0001406"</f>
        <v>0001406</v>
      </c>
      <c r="F257" t="s">
        <v>70</v>
      </c>
      <c r="G257" t="str">
        <f t="shared" si="56"/>
        <v>12704</v>
      </c>
      <c r="H257" t="str">
        <f t="shared" si="54"/>
        <v>01</v>
      </c>
      <c r="I257" t="s">
        <v>34</v>
      </c>
      <c r="J257" t="str">
        <f t="shared" si="57"/>
        <v>1902</v>
      </c>
      <c r="K257" t="str">
        <f t="shared" si="58"/>
        <v>99</v>
      </c>
      <c r="L257" s="3">
        <v>12</v>
      </c>
      <c r="M257" s="5">
        <v>0</v>
      </c>
      <c r="N257" s="7">
        <v>0</v>
      </c>
      <c r="O257" s="3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3">
        <v>0</v>
      </c>
      <c r="V257" s="7">
        <v>0</v>
      </c>
      <c r="W257" s="7">
        <v>0</v>
      </c>
      <c r="X257" s="3">
        <v>0</v>
      </c>
      <c r="Y257" s="7">
        <v>0</v>
      </c>
    </row>
    <row r="258" spans="1:25" x14ac:dyDescent="0.25">
      <c r="A258" t="s">
        <v>25</v>
      </c>
      <c r="B258" t="s">
        <v>26</v>
      </c>
      <c r="C258" t="str">
        <f t="shared" si="53"/>
        <v>1</v>
      </c>
      <c r="D258" t="str">
        <f t="shared" si="55"/>
        <v>1</v>
      </c>
      <c r="E258" t="str">
        <f>"0001407"</f>
        <v>0001407</v>
      </c>
      <c r="F258" t="s">
        <v>70</v>
      </c>
      <c r="G258" t="str">
        <f t="shared" si="56"/>
        <v>12704</v>
      </c>
      <c r="H258" t="str">
        <f t="shared" si="54"/>
        <v>01</v>
      </c>
      <c r="I258" t="s">
        <v>34</v>
      </c>
      <c r="J258" t="str">
        <f t="shared" si="57"/>
        <v>1902</v>
      </c>
      <c r="K258" t="str">
        <f t="shared" si="58"/>
        <v>99</v>
      </c>
      <c r="L258" s="3">
        <v>0.3</v>
      </c>
      <c r="M258" s="5">
        <v>0</v>
      </c>
      <c r="N258" s="7">
        <v>0</v>
      </c>
      <c r="O258" s="3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3">
        <v>0</v>
      </c>
      <c r="V258" s="7">
        <v>0</v>
      </c>
      <c r="W258" s="7">
        <v>0</v>
      </c>
      <c r="X258" s="3">
        <v>0</v>
      </c>
      <c r="Y258" s="7">
        <v>0</v>
      </c>
    </row>
    <row r="259" spans="1:25" x14ac:dyDescent="0.25">
      <c r="A259" t="s">
        <v>25</v>
      </c>
      <c r="B259" t="s">
        <v>26</v>
      </c>
      <c r="C259" t="str">
        <f t="shared" si="53"/>
        <v>1</v>
      </c>
      <c r="D259" t="str">
        <f t="shared" si="55"/>
        <v>1</v>
      </c>
      <c r="E259" t="str">
        <f>"0001421"</f>
        <v>0001421</v>
      </c>
      <c r="F259" t="s">
        <v>70</v>
      </c>
      <c r="G259" t="str">
        <f t="shared" si="56"/>
        <v>12704</v>
      </c>
      <c r="H259" t="str">
        <f t="shared" si="54"/>
        <v>01</v>
      </c>
      <c r="I259" t="s">
        <v>34</v>
      </c>
      <c r="J259" t="str">
        <f t="shared" si="57"/>
        <v>1902</v>
      </c>
      <c r="K259" t="str">
        <f t="shared" si="58"/>
        <v>99</v>
      </c>
      <c r="L259" s="3">
        <v>50</v>
      </c>
      <c r="M259" s="5">
        <v>0</v>
      </c>
      <c r="N259" s="7">
        <v>0</v>
      </c>
      <c r="O259" s="3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  <c r="U259" s="3">
        <v>0</v>
      </c>
      <c r="V259" s="7">
        <v>0</v>
      </c>
      <c r="W259" s="7">
        <v>0</v>
      </c>
      <c r="X259" s="3">
        <v>0</v>
      </c>
      <c r="Y259" s="7">
        <v>0</v>
      </c>
    </row>
    <row r="260" spans="1:25" x14ac:dyDescent="0.25">
      <c r="A260" t="s">
        <v>25</v>
      </c>
      <c r="B260" t="s">
        <v>26</v>
      </c>
      <c r="C260" t="str">
        <f t="shared" si="53"/>
        <v>1</v>
      </c>
      <c r="D260" t="s">
        <v>51</v>
      </c>
      <c r="E260" t="str">
        <f>"0070811"</f>
        <v>0070811</v>
      </c>
      <c r="F260" t="s">
        <v>69</v>
      </c>
      <c r="G260" t="str">
        <f t="shared" si="56"/>
        <v>12704</v>
      </c>
      <c r="H260" t="str">
        <f t="shared" si="54"/>
        <v>01</v>
      </c>
      <c r="I260" t="s">
        <v>44</v>
      </c>
      <c r="J260" t="str">
        <f t="shared" si="57"/>
        <v>1902</v>
      </c>
      <c r="K260" t="str">
        <f t="shared" si="58"/>
        <v>99</v>
      </c>
      <c r="L260" s="3">
        <v>0</v>
      </c>
      <c r="M260" s="5">
        <v>0</v>
      </c>
      <c r="N260" s="7">
        <v>0</v>
      </c>
      <c r="O260" s="3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3">
        <v>0</v>
      </c>
      <c r="V260" s="7">
        <v>0</v>
      </c>
      <c r="W260" s="7">
        <v>0</v>
      </c>
      <c r="X260" s="3">
        <v>0</v>
      </c>
      <c r="Y260" s="7">
        <v>0</v>
      </c>
    </row>
    <row r="261" spans="1:25" x14ac:dyDescent="0.25">
      <c r="A261" t="s">
        <v>25</v>
      </c>
      <c r="B261" t="s">
        <v>26</v>
      </c>
      <c r="C261" t="str">
        <f t="shared" si="53"/>
        <v>1</v>
      </c>
      <c r="D261" t="s">
        <v>33</v>
      </c>
      <c r="E261" t="str">
        <f>"0080811"</f>
        <v>0080811</v>
      </c>
      <c r="F261" t="s">
        <v>69</v>
      </c>
      <c r="G261" t="str">
        <f t="shared" si="56"/>
        <v>12704</v>
      </c>
      <c r="H261" t="str">
        <f t="shared" si="54"/>
        <v>01</v>
      </c>
      <c r="I261" t="s">
        <v>34</v>
      </c>
      <c r="J261" t="str">
        <f t="shared" si="57"/>
        <v>1902</v>
      </c>
      <c r="K261" t="str">
        <f t="shared" si="58"/>
        <v>99</v>
      </c>
      <c r="L261" s="3">
        <v>16.5</v>
      </c>
      <c r="M261" s="5">
        <v>0</v>
      </c>
      <c r="N261" s="7">
        <v>0</v>
      </c>
      <c r="O261" s="3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3">
        <v>0</v>
      </c>
      <c r="V261" s="7">
        <v>0</v>
      </c>
      <c r="W261" s="7">
        <v>0</v>
      </c>
      <c r="X261" s="3">
        <v>0</v>
      </c>
      <c r="Y261" s="7">
        <v>0</v>
      </c>
    </row>
    <row r="262" spans="1:25" x14ac:dyDescent="0.25">
      <c r="A262" t="s">
        <v>25</v>
      </c>
      <c r="B262" t="s">
        <v>26</v>
      </c>
      <c r="C262" t="str">
        <f t="shared" si="53"/>
        <v>1</v>
      </c>
      <c r="D262" t="s">
        <v>33</v>
      </c>
      <c r="E262" t="str">
        <f>"0080811"</f>
        <v>0080811</v>
      </c>
      <c r="F262" t="s">
        <v>69</v>
      </c>
      <c r="G262" t="str">
        <f t="shared" si="56"/>
        <v>12704</v>
      </c>
      <c r="H262" t="str">
        <f t="shared" si="54"/>
        <v>01</v>
      </c>
      <c r="I262" t="s">
        <v>34</v>
      </c>
      <c r="J262" t="str">
        <f t="shared" si="57"/>
        <v>1902</v>
      </c>
      <c r="K262" t="str">
        <f t="shared" si="58"/>
        <v>99</v>
      </c>
      <c r="L262" s="3">
        <v>25.43</v>
      </c>
      <c r="M262" s="5">
        <v>0</v>
      </c>
      <c r="N262" s="7">
        <v>0</v>
      </c>
      <c r="O262" s="3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3">
        <v>0</v>
      </c>
      <c r="V262" s="7">
        <v>0</v>
      </c>
      <c r="W262" s="7">
        <v>0</v>
      </c>
      <c r="X262" s="3">
        <v>0</v>
      </c>
      <c r="Y262" s="7">
        <v>0</v>
      </c>
    </row>
    <row r="263" spans="1:25" x14ac:dyDescent="0.25">
      <c r="A263" t="s">
        <v>25</v>
      </c>
      <c r="B263" t="s">
        <v>26</v>
      </c>
      <c r="C263" t="str">
        <f t="shared" si="53"/>
        <v>1</v>
      </c>
      <c r="D263" t="s">
        <v>33</v>
      </c>
      <c r="E263" t="str">
        <f>"0080811"</f>
        <v>0080811</v>
      </c>
      <c r="F263" t="s">
        <v>69</v>
      </c>
      <c r="G263" t="str">
        <f t="shared" si="56"/>
        <v>12704</v>
      </c>
      <c r="H263" t="str">
        <f t="shared" si="54"/>
        <v>01</v>
      </c>
      <c r="I263" t="s">
        <v>34</v>
      </c>
      <c r="J263" t="str">
        <f t="shared" si="57"/>
        <v>1902</v>
      </c>
      <c r="K263" t="str">
        <f t="shared" si="58"/>
        <v>99</v>
      </c>
      <c r="L263" s="3">
        <v>6.4</v>
      </c>
      <c r="M263" s="5">
        <v>0</v>
      </c>
      <c r="N263" s="7">
        <v>0</v>
      </c>
      <c r="O263" s="3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3">
        <v>0</v>
      </c>
      <c r="V263" s="7">
        <v>0</v>
      </c>
      <c r="W263" s="7">
        <v>0</v>
      </c>
      <c r="X263" s="3">
        <v>0</v>
      </c>
      <c r="Y263" s="7">
        <v>0</v>
      </c>
    </row>
    <row r="264" spans="1:25" x14ac:dyDescent="0.25">
      <c r="A264" t="s">
        <v>25</v>
      </c>
      <c r="B264" t="s">
        <v>26</v>
      </c>
      <c r="C264" t="str">
        <f t="shared" si="53"/>
        <v>1</v>
      </c>
      <c r="D264" t="s">
        <v>33</v>
      </c>
      <c r="E264" t="str">
        <f>"0080811"</f>
        <v>0080811</v>
      </c>
      <c r="F264" t="s">
        <v>69</v>
      </c>
      <c r="G264" t="str">
        <f t="shared" si="56"/>
        <v>12704</v>
      </c>
      <c r="H264" t="str">
        <f t="shared" si="54"/>
        <v>01</v>
      </c>
      <c r="I264" t="s">
        <v>34</v>
      </c>
      <c r="J264" t="str">
        <f t="shared" si="57"/>
        <v>1902</v>
      </c>
      <c r="K264" t="str">
        <f t="shared" si="58"/>
        <v>99</v>
      </c>
      <c r="L264" s="3">
        <v>0.5</v>
      </c>
      <c r="M264" s="5">
        <v>0</v>
      </c>
      <c r="N264" s="7">
        <v>0</v>
      </c>
      <c r="O264" s="3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3">
        <v>0</v>
      </c>
      <c r="V264" s="7">
        <v>0</v>
      </c>
      <c r="W264" s="7">
        <v>0</v>
      </c>
      <c r="X264" s="3">
        <v>0</v>
      </c>
      <c r="Y264" s="7">
        <v>0</v>
      </c>
    </row>
    <row r="265" spans="1:25" x14ac:dyDescent="0.25">
      <c r="A265" t="s">
        <v>25</v>
      </c>
      <c r="B265" t="s">
        <v>26</v>
      </c>
      <c r="C265" t="str">
        <f t="shared" si="53"/>
        <v>1</v>
      </c>
      <c r="D265" t="s">
        <v>33</v>
      </c>
      <c r="E265" t="str">
        <f>"0100811"</f>
        <v>0100811</v>
      </c>
      <c r="F265" t="s">
        <v>70</v>
      </c>
      <c r="G265" t="str">
        <f t="shared" si="56"/>
        <v>12704</v>
      </c>
      <c r="H265" t="str">
        <f t="shared" si="54"/>
        <v>01</v>
      </c>
      <c r="I265" t="s">
        <v>39</v>
      </c>
      <c r="J265" t="str">
        <f t="shared" si="57"/>
        <v>1902</v>
      </c>
      <c r="K265" t="str">
        <f t="shared" si="58"/>
        <v>99</v>
      </c>
      <c r="L265" s="3">
        <v>3.75</v>
      </c>
      <c r="M265" s="5">
        <v>0</v>
      </c>
      <c r="N265" s="7">
        <v>0</v>
      </c>
      <c r="O265" s="3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3">
        <v>0</v>
      </c>
      <c r="V265" s="7">
        <v>0</v>
      </c>
      <c r="W265" s="7">
        <v>0</v>
      </c>
      <c r="X265" s="3">
        <v>0</v>
      </c>
      <c r="Y265" s="7">
        <v>0</v>
      </c>
    </row>
    <row r="266" spans="1:25" x14ac:dyDescent="0.25">
      <c r="A266" t="s">
        <v>25</v>
      </c>
      <c r="B266" t="s">
        <v>26</v>
      </c>
      <c r="C266" t="str">
        <f t="shared" si="53"/>
        <v>1</v>
      </c>
      <c r="D266" t="s">
        <v>33</v>
      </c>
      <c r="E266" t="str">
        <f>"0120811"</f>
        <v>0120811</v>
      </c>
      <c r="F266" t="s">
        <v>70</v>
      </c>
      <c r="G266" t="str">
        <f t="shared" si="56"/>
        <v>12704</v>
      </c>
      <c r="H266" t="str">
        <f t="shared" si="54"/>
        <v>01</v>
      </c>
      <c r="I266" t="s">
        <v>63</v>
      </c>
      <c r="J266" t="str">
        <f t="shared" si="57"/>
        <v>1902</v>
      </c>
      <c r="K266" t="str">
        <f t="shared" si="58"/>
        <v>99</v>
      </c>
      <c r="L266" s="3">
        <v>100</v>
      </c>
      <c r="M266" s="5">
        <v>0</v>
      </c>
      <c r="N266" s="7">
        <v>0</v>
      </c>
      <c r="O266" s="3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3">
        <v>0</v>
      </c>
      <c r="V266" s="7">
        <v>0</v>
      </c>
      <c r="W266" s="7">
        <v>0</v>
      </c>
      <c r="X266" s="3">
        <v>0</v>
      </c>
      <c r="Y266" s="7">
        <v>0</v>
      </c>
    </row>
    <row r="267" spans="1:25" x14ac:dyDescent="0.25">
      <c r="A267" t="s">
        <v>25</v>
      </c>
      <c r="B267" t="s">
        <v>26</v>
      </c>
      <c r="C267" t="str">
        <f t="shared" si="53"/>
        <v>1</v>
      </c>
      <c r="D267" t="s">
        <v>33</v>
      </c>
      <c r="E267" t="str">
        <f>"0120812"</f>
        <v>0120812</v>
      </c>
      <c r="F267" t="s">
        <v>70</v>
      </c>
      <c r="G267" t="str">
        <f t="shared" si="56"/>
        <v>12704</v>
      </c>
      <c r="H267" t="str">
        <f t="shared" si="54"/>
        <v>01</v>
      </c>
      <c r="I267" t="s">
        <v>63</v>
      </c>
      <c r="J267" t="str">
        <f t="shared" si="57"/>
        <v>1902</v>
      </c>
      <c r="K267" t="str">
        <f t="shared" si="58"/>
        <v>99</v>
      </c>
      <c r="L267" s="3">
        <v>25</v>
      </c>
      <c r="M267" s="5">
        <v>0</v>
      </c>
      <c r="N267" s="7">
        <v>0</v>
      </c>
      <c r="O267" s="3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3">
        <v>0</v>
      </c>
      <c r="V267" s="7">
        <v>0</v>
      </c>
      <c r="W267" s="7">
        <v>0</v>
      </c>
      <c r="X267" s="3">
        <v>0</v>
      </c>
      <c r="Y267" s="7">
        <v>0</v>
      </c>
    </row>
    <row r="268" spans="1:25" x14ac:dyDescent="0.25">
      <c r="A268" t="s">
        <v>25</v>
      </c>
      <c r="B268" t="s">
        <v>26</v>
      </c>
      <c r="C268" t="str">
        <f t="shared" si="53"/>
        <v>1</v>
      </c>
      <c r="D268" t="s">
        <v>33</v>
      </c>
      <c r="E268" t="str">
        <f>"0160811"</f>
        <v>0160811</v>
      </c>
      <c r="F268" t="s">
        <v>70</v>
      </c>
      <c r="G268" t="str">
        <f t="shared" si="56"/>
        <v>12704</v>
      </c>
      <c r="H268" t="str">
        <f t="shared" si="54"/>
        <v>01</v>
      </c>
      <c r="I268" t="s">
        <v>34</v>
      </c>
      <c r="J268" t="str">
        <f t="shared" si="57"/>
        <v>1902</v>
      </c>
      <c r="K268" t="str">
        <f t="shared" si="58"/>
        <v>99</v>
      </c>
      <c r="L268" s="3">
        <v>16.03</v>
      </c>
      <c r="M268" s="5">
        <v>0</v>
      </c>
      <c r="N268" s="7">
        <v>0</v>
      </c>
      <c r="O268" s="3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3">
        <v>0</v>
      </c>
      <c r="V268" s="7">
        <v>0</v>
      </c>
      <c r="W268" s="7">
        <v>0</v>
      </c>
      <c r="X268" s="3">
        <v>0</v>
      </c>
      <c r="Y268" s="7">
        <v>0</v>
      </c>
    </row>
    <row r="269" spans="1:25" x14ac:dyDescent="0.25">
      <c r="A269" t="s">
        <v>25</v>
      </c>
      <c r="B269" t="s">
        <v>26</v>
      </c>
      <c r="C269" t="str">
        <f t="shared" si="53"/>
        <v>1</v>
      </c>
      <c r="D269" t="s">
        <v>33</v>
      </c>
      <c r="E269" t="str">
        <f>"0180811"</f>
        <v>0180811</v>
      </c>
      <c r="F269" t="s">
        <v>71</v>
      </c>
      <c r="G269" t="str">
        <f t="shared" si="56"/>
        <v>12704</v>
      </c>
      <c r="H269" t="str">
        <f t="shared" si="54"/>
        <v>01</v>
      </c>
      <c r="I269" t="s">
        <v>37</v>
      </c>
      <c r="J269" t="str">
        <f t="shared" si="57"/>
        <v>1902</v>
      </c>
      <c r="K269" t="str">
        <f>"06"</f>
        <v>06</v>
      </c>
      <c r="L269" s="3">
        <v>262.5</v>
      </c>
      <c r="M269" s="5">
        <v>250</v>
      </c>
      <c r="N269" s="7">
        <v>250</v>
      </c>
      <c r="O269" s="3">
        <v>0</v>
      </c>
      <c r="P269" s="7">
        <v>0</v>
      </c>
      <c r="Q269" s="7">
        <v>0</v>
      </c>
      <c r="R269" s="7">
        <v>0</v>
      </c>
      <c r="S269" s="7">
        <v>0</v>
      </c>
      <c r="T269" s="7">
        <v>250</v>
      </c>
      <c r="U269" s="3">
        <v>0</v>
      </c>
      <c r="V269" s="7">
        <v>0</v>
      </c>
      <c r="W269" s="7">
        <v>0</v>
      </c>
      <c r="X269" s="3">
        <v>0</v>
      </c>
      <c r="Y269" s="7">
        <v>0</v>
      </c>
    </row>
    <row r="270" spans="1:25" x14ac:dyDescent="0.25">
      <c r="A270" t="s">
        <v>25</v>
      </c>
      <c r="B270" t="s">
        <v>26</v>
      </c>
      <c r="C270" t="str">
        <f t="shared" si="53"/>
        <v>1</v>
      </c>
      <c r="D270" t="str">
        <f>"1"</f>
        <v>1</v>
      </c>
      <c r="E270" t="str">
        <f>"12345678"</f>
        <v>12345678</v>
      </c>
      <c r="F270" t="s">
        <v>69</v>
      </c>
      <c r="G270" t="str">
        <f t="shared" si="56"/>
        <v>12704</v>
      </c>
      <c r="H270" t="str">
        <f t="shared" si="54"/>
        <v>01</v>
      </c>
      <c r="I270" t="s">
        <v>34</v>
      </c>
      <c r="J270" t="str">
        <f t="shared" si="57"/>
        <v>1902</v>
      </c>
      <c r="K270" t="str">
        <f>"99"</f>
        <v>99</v>
      </c>
      <c r="L270" s="3">
        <v>5000</v>
      </c>
      <c r="M270" s="5">
        <v>0</v>
      </c>
      <c r="N270" s="7">
        <v>0</v>
      </c>
      <c r="O270" s="3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3">
        <v>0</v>
      </c>
      <c r="V270" s="7">
        <v>0</v>
      </c>
      <c r="W270" s="7">
        <v>0</v>
      </c>
      <c r="X270" s="3">
        <v>0</v>
      </c>
      <c r="Y270" s="7">
        <v>0</v>
      </c>
    </row>
    <row r="271" spans="1:25" x14ac:dyDescent="0.25">
      <c r="A271" t="s">
        <v>25</v>
      </c>
      <c r="B271" t="s">
        <v>26</v>
      </c>
      <c r="C271" t="str">
        <f t="shared" si="53"/>
        <v>1</v>
      </c>
      <c r="D271" t="s">
        <v>33</v>
      </c>
      <c r="E271" t="str">
        <f>"2208151"</f>
        <v>2208151</v>
      </c>
      <c r="F271" t="s">
        <v>70</v>
      </c>
      <c r="G271" t="str">
        <f t="shared" si="56"/>
        <v>12704</v>
      </c>
      <c r="H271" t="str">
        <f t="shared" si="54"/>
        <v>01</v>
      </c>
      <c r="I271" t="s">
        <v>34</v>
      </c>
      <c r="J271" t="str">
        <f t="shared" si="57"/>
        <v>1902</v>
      </c>
      <c r="K271" t="str">
        <f>"99"</f>
        <v>99</v>
      </c>
      <c r="L271" s="3">
        <v>500</v>
      </c>
      <c r="M271" s="5">
        <v>0</v>
      </c>
      <c r="N271" s="7">
        <v>0</v>
      </c>
      <c r="O271" s="3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3">
        <v>0</v>
      </c>
      <c r="V271" s="7">
        <v>0</v>
      </c>
      <c r="W271" s="7">
        <v>0</v>
      </c>
      <c r="X271" s="3">
        <v>0</v>
      </c>
      <c r="Y271" s="7">
        <v>0</v>
      </c>
    </row>
    <row r="272" spans="1:25" x14ac:dyDescent="0.25">
      <c r="A272" t="s">
        <v>25</v>
      </c>
      <c r="B272" t="s">
        <v>26</v>
      </c>
      <c r="C272" t="str">
        <f t="shared" si="53"/>
        <v>1</v>
      </c>
      <c r="D272" t="s">
        <v>33</v>
      </c>
      <c r="E272" t="str">
        <f>"2208200"</f>
        <v>2208200</v>
      </c>
      <c r="F272" t="s">
        <v>69</v>
      </c>
      <c r="G272" t="str">
        <f t="shared" si="56"/>
        <v>12704</v>
      </c>
      <c r="H272" t="str">
        <f t="shared" si="54"/>
        <v>01</v>
      </c>
      <c r="I272" t="s">
        <v>34</v>
      </c>
      <c r="J272" t="str">
        <f t="shared" si="57"/>
        <v>1902</v>
      </c>
      <c r="K272" t="str">
        <f>"99"</f>
        <v>99</v>
      </c>
      <c r="L272" s="3">
        <v>50</v>
      </c>
      <c r="M272" s="5">
        <v>0</v>
      </c>
      <c r="N272" s="7">
        <v>0</v>
      </c>
      <c r="O272" s="3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3">
        <v>0</v>
      </c>
      <c r="V272" s="7">
        <v>0</v>
      </c>
      <c r="W272" s="7">
        <v>0</v>
      </c>
      <c r="X272" s="3">
        <v>0</v>
      </c>
      <c r="Y272" s="7">
        <v>0</v>
      </c>
    </row>
    <row r="273" spans="1:25" x14ac:dyDescent="0.25">
      <c r="A273" t="s">
        <v>25</v>
      </c>
      <c r="B273" t="s">
        <v>26</v>
      </c>
      <c r="C273" t="str">
        <f t="shared" si="53"/>
        <v>1</v>
      </c>
      <c r="D273" t="s">
        <v>51</v>
      </c>
      <c r="E273" t="str">
        <f>"9120812"</f>
        <v>9120812</v>
      </c>
      <c r="F273" t="s">
        <v>69</v>
      </c>
      <c r="G273" t="str">
        <f t="shared" si="56"/>
        <v>12704</v>
      </c>
      <c r="H273" t="str">
        <f t="shared" si="54"/>
        <v>01</v>
      </c>
      <c r="I273" t="s">
        <v>34</v>
      </c>
      <c r="J273" t="str">
        <f t="shared" si="57"/>
        <v>1902</v>
      </c>
      <c r="K273" t="str">
        <f>"99"</f>
        <v>99</v>
      </c>
      <c r="L273" s="3">
        <v>2.5</v>
      </c>
      <c r="M273" s="5">
        <v>0</v>
      </c>
      <c r="N273" s="7">
        <v>0</v>
      </c>
      <c r="O273" s="3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3">
        <v>0</v>
      </c>
      <c r="V273" s="7">
        <v>0</v>
      </c>
      <c r="W273" s="7">
        <v>0</v>
      </c>
      <c r="X273" s="3">
        <v>0</v>
      </c>
      <c r="Y273" s="7">
        <v>0</v>
      </c>
    </row>
    <row r="274" spans="1:25" x14ac:dyDescent="0.25">
      <c r="A274" t="s">
        <v>25</v>
      </c>
      <c r="B274" t="s">
        <v>26</v>
      </c>
      <c r="C274" t="str">
        <f t="shared" si="53"/>
        <v>1</v>
      </c>
      <c r="D274" t="s">
        <v>33</v>
      </c>
      <c r="E274" t="str">
        <f>"9990811"</f>
        <v>9990811</v>
      </c>
      <c r="F274" t="s">
        <v>70</v>
      </c>
      <c r="G274" t="str">
        <f t="shared" si="56"/>
        <v>12704</v>
      </c>
      <c r="H274" t="str">
        <f t="shared" si="54"/>
        <v>01</v>
      </c>
      <c r="I274" t="s">
        <v>34</v>
      </c>
      <c r="J274" t="str">
        <f t="shared" si="57"/>
        <v>1902</v>
      </c>
      <c r="K274" t="str">
        <f>"99"</f>
        <v>99</v>
      </c>
      <c r="L274" s="3">
        <v>0.5</v>
      </c>
      <c r="M274" s="5">
        <v>0</v>
      </c>
      <c r="N274" s="7">
        <v>0</v>
      </c>
      <c r="O274" s="3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3">
        <v>0</v>
      </c>
      <c r="V274" s="7">
        <v>0</v>
      </c>
      <c r="W274" s="7">
        <v>0</v>
      </c>
      <c r="X274" s="3">
        <v>0</v>
      </c>
      <c r="Y274" s="7">
        <v>0</v>
      </c>
    </row>
    <row r="275" spans="1:25" x14ac:dyDescent="0.25">
      <c r="A275" t="s">
        <v>25</v>
      </c>
      <c r="B275" t="s">
        <v>26</v>
      </c>
      <c r="C275" t="str">
        <f t="shared" si="53"/>
        <v>1</v>
      </c>
      <c r="D275" t="s">
        <v>33</v>
      </c>
      <c r="E275" t="str">
        <f>"0000010"</f>
        <v>0000010</v>
      </c>
      <c r="F275" t="str">
        <f>"19932"</f>
        <v>19932</v>
      </c>
      <c r="G275" t="str">
        <f t="shared" si="56"/>
        <v>12704</v>
      </c>
      <c r="H275" t="str">
        <f t="shared" si="54"/>
        <v>01</v>
      </c>
      <c r="I275" t="s">
        <v>34</v>
      </c>
      <c r="J275" t="str">
        <f>"1949"</f>
        <v>1949</v>
      </c>
      <c r="K275" t="str">
        <f>"07"</f>
        <v>07</v>
      </c>
      <c r="L275" s="3">
        <v>25</v>
      </c>
      <c r="M275" s="5">
        <v>25</v>
      </c>
      <c r="N275" s="7">
        <v>25</v>
      </c>
      <c r="O275" s="3">
        <v>0</v>
      </c>
      <c r="P275" s="7">
        <v>0</v>
      </c>
      <c r="Q275" s="7">
        <v>0</v>
      </c>
      <c r="R275" s="7">
        <v>0</v>
      </c>
      <c r="S275" s="7">
        <v>0</v>
      </c>
      <c r="T275" s="7">
        <v>25</v>
      </c>
      <c r="U275" s="3">
        <v>0</v>
      </c>
      <c r="V275" s="7">
        <v>0</v>
      </c>
      <c r="W275" s="7">
        <v>0</v>
      </c>
      <c r="X275" s="3">
        <v>0</v>
      </c>
      <c r="Y275" s="7">
        <v>0</v>
      </c>
    </row>
    <row r="276" spans="1:25" x14ac:dyDescent="0.25">
      <c r="A276" t="s">
        <v>25</v>
      </c>
      <c r="B276" t="s">
        <v>26</v>
      </c>
      <c r="C276" t="str">
        <f t="shared" si="53"/>
        <v>1</v>
      </c>
      <c r="D276" t="s">
        <v>33</v>
      </c>
      <c r="E276" t="str">
        <f>"0020811"</f>
        <v>0020811</v>
      </c>
      <c r="F276" t="str">
        <f>"19933"</f>
        <v>19933</v>
      </c>
      <c r="G276" t="str">
        <f t="shared" si="56"/>
        <v>12704</v>
      </c>
      <c r="H276" t="str">
        <f t="shared" si="54"/>
        <v>01</v>
      </c>
      <c r="I276" t="s">
        <v>34</v>
      </c>
      <c r="J276" t="str">
        <f>"1949"</f>
        <v>1949</v>
      </c>
      <c r="K276" t="str">
        <f>"07"</f>
        <v>07</v>
      </c>
      <c r="L276" s="3">
        <v>50</v>
      </c>
      <c r="M276" s="5">
        <v>50</v>
      </c>
      <c r="N276" s="7">
        <v>50</v>
      </c>
      <c r="O276" s="3">
        <v>0</v>
      </c>
      <c r="P276" s="7">
        <v>0</v>
      </c>
      <c r="Q276" s="7">
        <v>0</v>
      </c>
      <c r="R276" s="7">
        <v>0</v>
      </c>
      <c r="S276" s="7">
        <v>0</v>
      </c>
      <c r="T276" s="7">
        <v>50</v>
      </c>
      <c r="U276" s="3">
        <v>0</v>
      </c>
      <c r="V276" s="7">
        <v>0</v>
      </c>
      <c r="W276" s="7">
        <v>0</v>
      </c>
      <c r="X276" s="3">
        <v>0</v>
      </c>
      <c r="Y276" s="7">
        <v>0</v>
      </c>
    </row>
    <row r="277" spans="1:25" x14ac:dyDescent="0.25">
      <c r="A277" t="s">
        <v>25</v>
      </c>
      <c r="B277" t="s">
        <v>26</v>
      </c>
      <c r="C277" t="str">
        <f t="shared" si="53"/>
        <v>1</v>
      </c>
      <c r="D277" t="str">
        <f t="shared" ref="D277:D300" si="59">"1"</f>
        <v>1</v>
      </c>
      <c r="E277" t="str">
        <f>"0000200"</f>
        <v>0000200</v>
      </c>
      <c r="F277" t="s">
        <v>72</v>
      </c>
      <c r="G277" t="str">
        <f>"13"</f>
        <v>13</v>
      </c>
      <c r="H277" t="str">
        <f t="shared" si="54"/>
        <v>01</v>
      </c>
      <c r="I277" t="s">
        <v>42</v>
      </c>
      <c r="J277" t="str">
        <f t="shared" ref="J277:J317" si="60">"2101"</f>
        <v>2101</v>
      </c>
      <c r="K277" t="str">
        <f>"07"</f>
        <v>07</v>
      </c>
      <c r="L277" s="3">
        <v>5353.5</v>
      </c>
      <c r="M277" s="5">
        <v>3690</v>
      </c>
      <c r="N277" s="7">
        <v>3690</v>
      </c>
      <c r="O277" s="3">
        <v>0</v>
      </c>
      <c r="P277" s="7">
        <v>0</v>
      </c>
      <c r="Q277" s="7">
        <v>0</v>
      </c>
      <c r="R277" s="7">
        <v>0</v>
      </c>
      <c r="S277" s="7">
        <v>0</v>
      </c>
      <c r="T277" s="7">
        <v>3690</v>
      </c>
      <c r="U277" s="3">
        <v>0</v>
      </c>
      <c r="V277" s="7">
        <v>0</v>
      </c>
      <c r="W277" s="7">
        <v>0</v>
      </c>
      <c r="X277" s="3">
        <v>0</v>
      </c>
      <c r="Y277" s="7">
        <v>0</v>
      </c>
    </row>
    <row r="278" spans="1:25" x14ac:dyDescent="0.25">
      <c r="A278" t="s">
        <v>25</v>
      </c>
      <c r="B278" t="s">
        <v>26</v>
      </c>
      <c r="C278" t="str">
        <f t="shared" ref="C278:C309" si="61">"1"</f>
        <v>1</v>
      </c>
      <c r="D278" t="str">
        <f t="shared" si="59"/>
        <v>1</v>
      </c>
      <c r="E278" t="str">
        <f>"0000200"</f>
        <v>0000200</v>
      </c>
      <c r="F278" t="s">
        <v>72</v>
      </c>
      <c r="G278" t="str">
        <f>"13"</f>
        <v>13</v>
      </c>
      <c r="H278" t="str">
        <f t="shared" si="54"/>
        <v>01</v>
      </c>
      <c r="I278" t="s">
        <v>73</v>
      </c>
      <c r="J278" t="str">
        <f t="shared" si="60"/>
        <v>2101</v>
      </c>
      <c r="K278" t="str">
        <f>"07"</f>
        <v>07</v>
      </c>
      <c r="L278" s="3">
        <v>869</v>
      </c>
      <c r="M278" s="5">
        <v>690</v>
      </c>
      <c r="N278" s="7">
        <v>690</v>
      </c>
      <c r="O278" s="3">
        <v>0</v>
      </c>
      <c r="P278" s="7">
        <v>0</v>
      </c>
      <c r="Q278" s="7">
        <v>0</v>
      </c>
      <c r="R278" s="7">
        <v>0</v>
      </c>
      <c r="S278" s="7">
        <v>0</v>
      </c>
      <c r="T278" s="7">
        <v>690</v>
      </c>
      <c r="U278" s="3">
        <v>0</v>
      </c>
      <c r="V278" s="7">
        <v>0</v>
      </c>
      <c r="W278" s="7">
        <v>0</v>
      </c>
      <c r="X278" s="3">
        <v>0</v>
      </c>
      <c r="Y278" s="7">
        <v>0</v>
      </c>
    </row>
    <row r="279" spans="1:25" x14ac:dyDescent="0.25">
      <c r="A279" t="s">
        <v>25</v>
      </c>
      <c r="B279" t="s">
        <v>26</v>
      </c>
      <c r="C279" t="str">
        <f t="shared" si="61"/>
        <v>1</v>
      </c>
      <c r="D279" t="str">
        <f t="shared" si="59"/>
        <v>1</v>
      </c>
      <c r="E279" t="str">
        <f>"0000500"</f>
        <v>0000500</v>
      </c>
      <c r="F279" t="s">
        <v>74</v>
      </c>
      <c r="G279" t="str">
        <f>"13"</f>
        <v>13</v>
      </c>
      <c r="H279" t="str">
        <f t="shared" si="54"/>
        <v>01</v>
      </c>
      <c r="I279" t="s">
        <v>67</v>
      </c>
      <c r="J279" t="str">
        <f t="shared" si="60"/>
        <v>2101</v>
      </c>
      <c r="K279" t="str">
        <f t="shared" ref="K279:K285" si="62">"01"</f>
        <v>01</v>
      </c>
      <c r="L279" s="3">
        <v>3036.45</v>
      </c>
      <c r="M279" s="5">
        <v>2060</v>
      </c>
      <c r="N279" s="7">
        <v>2060</v>
      </c>
      <c r="O279" s="3">
        <v>1.65</v>
      </c>
      <c r="P279" s="7">
        <v>33.99</v>
      </c>
      <c r="Q279" s="7">
        <v>0</v>
      </c>
      <c r="R279" s="7">
        <v>0</v>
      </c>
      <c r="S279" s="7">
        <v>0</v>
      </c>
      <c r="T279" s="7">
        <v>2060</v>
      </c>
      <c r="U279" s="3">
        <v>7.6</v>
      </c>
      <c r="V279" s="7">
        <v>156.56</v>
      </c>
      <c r="W279" s="7">
        <v>0</v>
      </c>
      <c r="X279" s="3">
        <v>0</v>
      </c>
      <c r="Y279" s="7">
        <v>0</v>
      </c>
    </row>
    <row r="280" spans="1:25" x14ac:dyDescent="0.25">
      <c r="A280" t="s">
        <v>25</v>
      </c>
      <c r="B280" t="s">
        <v>26</v>
      </c>
      <c r="C280" t="str">
        <f t="shared" si="61"/>
        <v>1</v>
      </c>
      <c r="D280" t="str">
        <f t="shared" si="59"/>
        <v>1</v>
      </c>
      <c r="E280" t="str">
        <f>"0000500"</f>
        <v>0000500</v>
      </c>
      <c r="F280" t="s">
        <v>74</v>
      </c>
      <c r="G280" t="str">
        <f>"13"</f>
        <v>13</v>
      </c>
      <c r="H280" t="str">
        <f t="shared" si="54"/>
        <v>01</v>
      </c>
      <c r="I280" t="s">
        <v>75</v>
      </c>
      <c r="J280" t="str">
        <f t="shared" si="60"/>
        <v>2101</v>
      </c>
      <c r="K280" t="str">
        <f t="shared" si="62"/>
        <v>01</v>
      </c>
      <c r="L280" s="3">
        <v>442.2</v>
      </c>
      <c r="M280" s="5">
        <v>300</v>
      </c>
      <c r="N280" s="7">
        <v>300</v>
      </c>
      <c r="O280" s="3">
        <v>1.65</v>
      </c>
      <c r="P280" s="7">
        <v>4.95</v>
      </c>
      <c r="Q280" s="7">
        <v>0</v>
      </c>
      <c r="R280" s="7">
        <v>0</v>
      </c>
      <c r="S280" s="7">
        <v>0</v>
      </c>
      <c r="T280" s="7">
        <v>300</v>
      </c>
      <c r="U280" s="3">
        <v>7.6</v>
      </c>
      <c r="V280" s="7">
        <v>22.8</v>
      </c>
      <c r="W280" s="7">
        <v>0</v>
      </c>
      <c r="X280" s="3">
        <v>0</v>
      </c>
      <c r="Y280" s="7">
        <v>0</v>
      </c>
    </row>
    <row r="281" spans="1:25" x14ac:dyDescent="0.25">
      <c r="A281" t="s">
        <v>25</v>
      </c>
      <c r="B281" t="s">
        <v>26</v>
      </c>
      <c r="C281" t="str">
        <f t="shared" si="61"/>
        <v>1</v>
      </c>
      <c r="D281" t="str">
        <f t="shared" si="59"/>
        <v>1</v>
      </c>
      <c r="E281" t="str">
        <f>"0000500"</f>
        <v>0000500</v>
      </c>
      <c r="F281" t="s">
        <v>74</v>
      </c>
      <c r="G281" t="str">
        <f>"13"</f>
        <v>13</v>
      </c>
      <c r="H281" t="str">
        <f t="shared" si="54"/>
        <v>01</v>
      </c>
      <c r="I281" t="s">
        <v>34</v>
      </c>
      <c r="J281" t="str">
        <f t="shared" si="60"/>
        <v>2101</v>
      </c>
      <c r="K281" t="str">
        <f t="shared" si="62"/>
        <v>01</v>
      </c>
      <c r="L281" s="3">
        <v>1050</v>
      </c>
      <c r="M281" s="5">
        <v>1000</v>
      </c>
      <c r="N281" s="7">
        <v>1000</v>
      </c>
      <c r="O281" s="3">
        <v>1.65</v>
      </c>
      <c r="P281" s="7">
        <v>16.5</v>
      </c>
      <c r="Q281" s="7">
        <v>0</v>
      </c>
      <c r="R281" s="7">
        <v>0</v>
      </c>
      <c r="S281" s="7">
        <v>0</v>
      </c>
      <c r="T281" s="7">
        <v>1000</v>
      </c>
      <c r="U281" s="3">
        <v>7.6</v>
      </c>
      <c r="V281" s="7">
        <v>76</v>
      </c>
      <c r="W281" s="7">
        <v>0</v>
      </c>
      <c r="X281" s="3">
        <v>0</v>
      </c>
      <c r="Y281" s="7">
        <v>0</v>
      </c>
    </row>
    <row r="282" spans="1:25" x14ac:dyDescent="0.25">
      <c r="A282" t="s">
        <v>25</v>
      </c>
      <c r="B282" t="s">
        <v>26</v>
      </c>
      <c r="C282" t="str">
        <f t="shared" si="61"/>
        <v>1</v>
      </c>
      <c r="D282" t="str">
        <f t="shared" si="59"/>
        <v>1</v>
      </c>
      <c r="E282" t="str">
        <f>"0000600"</f>
        <v>0000600</v>
      </c>
      <c r="F282" t="s">
        <v>76</v>
      </c>
      <c r="G282" t="str">
        <f>"4"</f>
        <v>4</v>
      </c>
      <c r="H282" t="str">
        <f t="shared" ref="H282:H313" si="63">"01"</f>
        <v>01</v>
      </c>
      <c r="I282" t="s">
        <v>77</v>
      </c>
      <c r="J282" t="str">
        <f t="shared" si="60"/>
        <v>2101</v>
      </c>
      <c r="K282" t="str">
        <f t="shared" si="62"/>
        <v>01</v>
      </c>
      <c r="L282" s="3">
        <v>400</v>
      </c>
      <c r="M282" s="5">
        <v>400</v>
      </c>
      <c r="N282" s="7">
        <v>400</v>
      </c>
      <c r="O282" s="3">
        <v>1.65</v>
      </c>
      <c r="P282" s="7">
        <v>6.6</v>
      </c>
      <c r="Q282" s="7">
        <v>0</v>
      </c>
      <c r="R282" s="7">
        <v>0</v>
      </c>
      <c r="S282" s="7">
        <v>0</v>
      </c>
      <c r="T282" s="7">
        <v>400</v>
      </c>
      <c r="U282" s="3">
        <v>7.6</v>
      </c>
      <c r="V282" s="7">
        <v>30.4</v>
      </c>
      <c r="W282" s="7">
        <v>0</v>
      </c>
      <c r="X282" s="3">
        <v>0</v>
      </c>
      <c r="Y282" s="7">
        <v>0</v>
      </c>
    </row>
    <row r="283" spans="1:25" x14ac:dyDescent="0.25">
      <c r="A283" t="s">
        <v>25</v>
      </c>
      <c r="B283" t="s">
        <v>26</v>
      </c>
      <c r="C283" t="str">
        <f t="shared" si="61"/>
        <v>1</v>
      </c>
      <c r="D283" t="str">
        <f t="shared" si="59"/>
        <v>1</v>
      </c>
      <c r="E283" t="str">
        <f>"0000600"</f>
        <v>0000600</v>
      </c>
      <c r="F283" t="s">
        <v>76</v>
      </c>
      <c r="G283" t="str">
        <f>"4"</f>
        <v>4</v>
      </c>
      <c r="H283" t="str">
        <f t="shared" si="63"/>
        <v>01</v>
      </c>
      <c r="I283" t="s">
        <v>34</v>
      </c>
      <c r="J283" t="str">
        <f t="shared" si="60"/>
        <v>2101</v>
      </c>
      <c r="K283" t="str">
        <f t="shared" si="62"/>
        <v>01</v>
      </c>
      <c r="L283" s="3">
        <v>300</v>
      </c>
      <c r="M283" s="5">
        <v>300</v>
      </c>
      <c r="N283" s="7">
        <v>300</v>
      </c>
      <c r="O283" s="3">
        <v>1.65</v>
      </c>
      <c r="P283" s="7">
        <v>4.95</v>
      </c>
      <c r="Q283" s="7">
        <v>0</v>
      </c>
      <c r="R283" s="7">
        <v>0</v>
      </c>
      <c r="S283" s="7">
        <v>0</v>
      </c>
      <c r="T283" s="7">
        <v>300</v>
      </c>
      <c r="U283" s="3">
        <v>7.6</v>
      </c>
      <c r="V283" s="7">
        <v>22.8</v>
      </c>
      <c r="W283" s="7">
        <v>0</v>
      </c>
      <c r="X283" s="3">
        <v>0</v>
      </c>
      <c r="Y283" s="7">
        <v>0</v>
      </c>
    </row>
    <row r="284" spans="1:25" x14ac:dyDescent="0.25">
      <c r="A284" t="s">
        <v>25</v>
      </c>
      <c r="B284" t="s">
        <v>26</v>
      </c>
      <c r="C284" t="str">
        <f t="shared" si="61"/>
        <v>1</v>
      </c>
      <c r="D284" t="str">
        <f t="shared" si="59"/>
        <v>1</v>
      </c>
      <c r="E284" t="str">
        <f>"0000601"</f>
        <v>0000601</v>
      </c>
      <c r="F284" t="s">
        <v>76</v>
      </c>
      <c r="G284" t="str">
        <f>"1"</f>
        <v>1</v>
      </c>
      <c r="H284" t="str">
        <f t="shared" si="63"/>
        <v>01</v>
      </c>
      <c r="I284" t="s">
        <v>75</v>
      </c>
      <c r="J284" t="str">
        <f t="shared" si="60"/>
        <v>2101</v>
      </c>
      <c r="K284" t="str">
        <f t="shared" si="62"/>
        <v>01</v>
      </c>
      <c r="L284" s="3">
        <v>128.37</v>
      </c>
      <c r="M284" s="5">
        <v>110</v>
      </c>
      <c r="N284" s="7">
        <v>110</v>
      </c>
      <c r="O284" s="3">
        <v>1.65</v>
      </c>
      <c r="P284" s="7">
        <v>1.82</v>
      </c>
      <c r="Q284" s="7">
        <v>0</v>
      </c>
      <c r="R284" s="7">
        <v>0</v>
      </c>
      <c r="S284" s="7">
        <v>0</v>
      </c>
      <c r="T284" s="7">
        <v>110</v>
      </c>
      <c r="U284" s="3">
        <v>7.6</v>
      </c>
      <c r="V284" s="7">
        <v>8.36</v>
      </c>
      <c r="W284" s="7">
        <v>0</v>
      </c>
      <c r="X284" s="3">
        <v>0</v>
      </c>
      <c r="Y284" s="7">
        <v>0</v>
      </c>
    </row>
    <row r="285" spans="1:25" x14ac:dyDescent="0.25">
      <c r="A285" t="s">
        <v>25</v>
      </c>
      <c r="B285" t="s">
        <v>26</v>
      </c>
      <c r="C285" t="str">
        <f t="shared" si="61"/>
        <v>1</v>
      </c>
      <c r="D285" t="str">
        <f t="shared" si="59"/>
        <v>1</v>
      </c>
      <c r="E285" t="str">
        <f>"0000601"</f>
        <v>0000601</v>
      </c>
      <c r="F285" t="s">
        <v>76</v>
      </c>
      <c r="G285" t="str">
        <f>"1"</f>
        <v>1</v>
      </c>
      <c r="H285" t="str">
        <f t="shared" si="63"/>
        <v>01</v>
      </c>
      <c r="I285" t="s">
        <v>62</v>
      </c>
      <c r="J285" t="str">
        <f t="shared" si="60"/>
        <v>2101</v>
      </c>
      <c r="K285" t="str">
        <f t="shared" si="62"/>
        <v>01</v>
      </c>
      <c r="L285" s="3">
        <v>1069.79</v>
      </c>
      <c r="M285" s="5">
        <v>916.7</v>
      </c>
      <c r="N285" s="7">
        <v>916.7</v>
      </c>
      <c r="O285" s="3">
        <v>1.65</v>
      </c>
      <c r="P285" s="7">
        <v>15.13</v>
      </c>
      <c r="Q285" s="7">
        <v>0</v>
      </c>
      <c r="R285" s="7">
        <v>0</v>
      </c>
      <c r="S285" s="7">
        <v>0</v>
      </c>
      <c r="T285" s="7">
        <v>916.7</v>
      </c>
      <c r="U285" s="3">
        <v>7.6</v>
      </c>
      <c r="V285" s="7">
        <v>69.67</v>
      </c>
      <c r="W285" s="7">
        <v>0</v>
      </c>
      <c r="X285" s="3">
        <v>0</v>
      </c>
      <c r="Y285" s="7">
        <v>0</v>
      </c>
    </row>
    <row r="286" spans="1:25" x14ac:dyDescent="0.25">
      <c r="A286" t="s">
        <v>25</v>
      </c>
      <c r="B286" t="s">
        <v>26</v>
      </c>
      <c r="C286" t="str">
        <f t="shared" si="61"/>
        <v>1</v>
      </c>
      <c r="D286" t="str">
        <f t="shared" si="59"/>
        <v>1</v>
      </c>
      <c r="E286" t="str">
        <f>"0000896"</f>
        <v>0000896</v>
      </c>
      <c r="F286" t="s">
        <v>78</v>
      </c>
      <c r="G286" t="str">
        <f t="shared" ref="G286:G293" si="64">"13"</f>
        <v>13</v>
      </c>
      <c r="H286" t="str">
        <f t="shared" si="63"/>
        <v>01</v>
      </c>
      <c r="I286" t="s">
        <v>73</v>
      </c>
      <c r="J286" t="str">
        <f t="shared" si="60"/>
        <v>2101</v>
      </c>
      <c r="K286" t="str">
        <f t="shared" ref="K286:K292" si="65">"07"</f>
        <v>07</v>
      </c>
      <c r="L286" s="3">
        <v>3412</v>
      </c>
      <c r="M286" s="5">
        <v>3000</v>
      </c>
      <c r="N286" s="7">
        <v>3000</v>
      </c>
      <c r="O286" s="3">
        <v>0</v>
      </c>
      <c r="P286" s="7">
        <v>0</v>
      </c>
      <c r="Q286" s="7">
        <v>0</v>
      </c>
      <c r="R286" s="7">
        <v>0</v>
      </c>
      <c r="S286" s="7">
        <v>0</v>
      </c>
      <c r="T286" s="7">
        <v>3000</v>
      </c>
      <c r="U286" s="3">
        <v>0</v>
      </c>
      <c r="V286" s="7">
        <v>0</v>
      </c>
      <c r="W286" s="7">
        <v>0</v>
      </c>
      <c r="X286" s="3">
        <v>0</v>
      </c>
      <c r="Y286" s="7">
        <v>0</v>
      </c>
    </row>
    <row r="287" spans="1:25" x14ac:dyDescent="0.25">
      <c r="A287" t="s">
        <v>25</v>
      </c>
      <c r="B287" t="s">
        <v>26</v>
      </c>
      <c r="C287" t="str">
        <f t="shared" si="61"/>
        <v>1</v>
      </c>
      <c r="D287" t="str">
        <f t="shared" si="59"/>
        <v>1</v>
      </c>
      <c r="E287" t="str">
        <f>"0001001"</f>
        <v>0001001</v>
      </c>
      <c r="F287" t="s">
        <v>72</v>
      </c>
      <c r="G287" t="str">
        <f t="shared" si="64"/>
        <v>13</v>
      </c>
      <c r="H287" t="str">
        <f t="shared" si="63"/>
        <v>01</v>
      </c>
      <c r="I287" t="s">
        <v>79</v>
      </c>
      <c r="J287" t="str">
        <f t="shared" si="60"/>
        <v>2101</v>
      </c>
      <c r="K287" t="str">
        <f t="shared" si="65"/>
        <v>07</v>
      </c>
      <c r="L287" s="3">
        <v>394</v>
      </c>
      <c r="M287" s="5">
        <v>300</v>
      </c>
      <c r="N287" s="7">
        <v>300</v>
      </c>
      <c r="O287" s="3">
        <v>0</v>
      </c>
      <c r="P287" s="7">
        <v>0</v>
      </c>
      <c r="Q287" s="7">
        <v>0</v>
      </c>
      <c r="R287" s="7">
        <v>0</v>
      </c>
      <c r="S287" s="7">
        <v>0</v>
      </c>
      <c r="T287" s="7">
        <v>300</v>
      </c>
      <c r="U287" s="3">
        <v>0</v>
      </c>
      <c r="V287" s="7">
        <v>0</v>
      </c>
      <c r="W287" s="7">
        <v>0</v>
      </c>
      <c r="X287" s="3">
        <v>0</v>
      </c>
      <c r="Y287" s="7">
        <v>0</v>
      </c>
    </row>
    <row r="288" spans="1:25" x14ac:dyDescent="0.25">
      <c r="A288" t="s">
        <v>25</v>
      </c>
      <c r="B288" t="s">
        <v>26</v>
      </c>
      <c r="C288" t="str">
        <f t="shared" si="61"/>
        <v>1</v>
      </c>
      <c r="D288" t="str">
        <f t="shared" si="59"/>
        <v>1</v>
      </c>
      <c r="E288" t="str">
        <f>"0001001"</f>
        <v>0001001</v>
      </c>
      <c r="F288" t="s">
        <v>72</v>
      </c>
      <c r="G288" t="str">
        <f t="shared" si="64"/>
        <v>13</v>
      </c>
      <c r="H288" t="str">
        <f t="shared" si="63"/>
        <v>01</v>
      </c>
      <c r="I288" t="s">
        <v>75</v>
      </c>
      <c r="J288" t="str">
        <f t="shared" si="60"/>
        <v>2101</v>
      </c>
      <c r="K288" t="str">
        <f t="shared" si="65"/>
        <v>07</v>
      </c>
      <c r="L288" s="3">
        <v>396</v>
      </c>
      <c r="M288" s="5">
        <v>300</v>
      </c>
      <c r="N288" s="7">
        <v>300</v>
      </c>
      <c r="O288" s="3">
        <v>0</v>
      </c>
      <c r="P288" s="7">
        <v>0</v>
      </c>
      <c r="Q288" s="7">
        <v>0</v>
      </c>
      <c r="R288" s="7">
        <v>0</v>
      </c>
      <c r="S288" s="7">
        <v>0</v>
      </c>
      <c r="T288" s="7">
        <v>300</v>
      </c>
      <c r="U288" s="3">
        <v>0</v>
      </c>
      <c r="V288" s="7">
        <v>0</v>
      </c>
      <c r="W288" s="7">
        <v>0</v>
      </c>
      <c r="X288" s="3">
        <v>0</v>
      </c>
      <c r="Y288" s="7">
        <v>0</v>
      </c>
    </row>
    <row r="289" spans="1:25" x14ac:dyDescent="0.25">
      <c r="A289" t="s">
        <v>25</v>
      </c>
      <c r="B289" t="s">
        <v>26</v>
      </c>
      <c r="C289" t="str">
        <f t="shared" si="61"/>
        <v>1</v>
      </c>
      <c r="D289" t="str">
        <f t="shared" si="59"/>
        <v>1</v>
      </c>
      <c r="E289" t="str">
        <f>"0001001"</f>
        <v>0001001</v>
      </c>
      <c r="F289" t="s">
        <v>72</v>
      </c>
      <c r="G289" t="str">
        <f t="shared" si="64"/>
        <v>13</v>
      </c>
      <c r="H289" t="str">
        <f t="shared" si="63"/>
        <v>01</v>
      </c>
      <c r="I289" t="s">
        <v>34</v>
      </c>
      <c r="J289" t="str">
        <f t="shared" si="60"/>
        <v>2101</v>
      </c>
      <c r="K289" t="str">
        <f t="shared" si="65"/>
        <v>07</v>
      </c>
      <c r="L289" s="3">
        <v>338.5</v>
      </c>
      <c r="M289" s="5">
        <v>250</v>
      </c>
      <c r="N289" s="7">
        <v>250</v>
      </c>
      <c r="O289" s="3">
        <v>0</v>
      </c>
      <c r="P289" s="7">
        <v>0</v>
      </c>
      <c r="Q289" s="7">
        <v>0</v>
      </c>
      <c r="R289" s="7">
        <v>0</v>
      </c>
      <c r="S289" s="7">
        <v>0</v>
      </c>
      <c r="T289" s="7">
        <v>250</v>
      </c>
      <c r="U289" s="3">
        <v>0</v>
      </c>
      <c r="V289" s="7">
        <v>0</v>
      </c>
      <c r="W289" s="7">
        <v>0</v>
      </c>
      <c r="X289" s="3">
        <v>0</v>
      </c>
      <c r="Y289" s="7">
        <v>0</v>
      </c>
    </row>
    <row r="290" spans="1:25" x14ac:dyDescent="0.25">
      <c r="A290" t="s">
        <v>25</v>
      </c>
      <c r="B290" t="s">
        <v>26</v>
      </c>
      <c r="C290" t="str">
        <f t="shared" si="61"/>
        <v>1</v>
      </c>
      <c r="D290" t="str">
        <f t="shared" si="59"/>
        <v>1</v>
      </c>
      <c r="E290" t="str">
        <f>"0001002"</f>
        <v>0001002</v>
      </c>
      <c r="F290" t="s">
        <v>72</v>
      </c>
      <c r="G290" t="str">
        <f t="shared" si="64"/>
        <v>13</v>
      </c>
      <c r="H290" t="str">
        <f t="shared" si="63"/>
        <v>01</v>
      </c>
      <c r="I290" t="s">
        <v>62</v>
      </c>
      <c r="J290" t="str">
        <f t="shared" si="60"/>
        <v>2101</v>
      </c>
      <c r="K290" t="str">
        <f t="shared" si="65"/>
        <v>07</v>
      </c>
      <c r="L290" s="3">
        <v>292</v>
      </c>
      <c r="M290" s="5">
        <v>240</v>
      </c>
      <c r="N290" s="7">
        <v>240</v>
      </c>
      <c r="O290" s="3">
        <v>0</v>
      </c>
      <c r="P290" s="7">
        <v>0</v>
      </c>
      <c r="Q290" s="7">
        <v>0</v>
      </c>
      <c r="R290" s="7">
        <v>0</v>
      </c>
      <c r="S290" s="7">
        <v>0</v>
      </c>
      <c r="T290" s="7">
        <v>240</v>
      </c>
      <c r="U290" s="3">
        <v>0</v>
      </c>
      <c r="V290" s="7">
        <v>0</v>
      </c>
      <c r="W290" s="7">
        <v>0</v>
      </c>
      <c r="X290" s="3">
        <v>0</v>
      </c>
      <c r="Y290" s="7">
        <v>0</v>
      </c>
    </row>
    <row r="291" spans="1:25" x14ac:dyDescent="0.25">
      <c r="A291" t="s">
        <v>25</v>
      </c>
      <c r="B291" t="s">
        <v>26</v>
      </c>
      <c r="C291" t="str">
        <f t="shared" si="61"/>
        <v>1</v>
      </c>
      <c r="D291" t="str">
        <f t="shared" si="59"/>
        <v>1</v>
      </c>
      <c r="E291" t="str">
        <f>"0001002"</f>
        <v>0001002</v>
      </c>
      <c r="F291" t="s">
        <v>72</v>
      </c>
      <c r="G291" t="str">
        <f t="shared" si="64"/>
        <v>13</v>
      </c>
      <c r="H291" t="str">
        <f t="shared" si="63"/>
        <v>01</v>
      </c>
      <c r="I291" t="s">
        <v>34</v>
      </c>
      <c r="J291" t="str">
        <f t="shared" si="60"/>
        <v>2101</v>
      </c>
      <c r="K291" t="str">
        <f t="shared" si="65"/>
        <v>07</v>
      </c>
      <c r="L291" s="3">
        <v>286</v>
      </c>
      <c r="M291" s="5">
        <v>200</v>
      </c>
      <c r="N291" s="7">
        <v>200</v>
      </c>
      <c r="O291" s="3">
        <v>0</v>
      </c>
      <c r="P291" s="7">
        <v>0</v>
      </c>
      <c r="Q291" s="7">
        <v>0</v>
      </c>
      <c r="R291" s="7">
        <v>0</v>
      </c>
      <c r="S291" s="7">
        <v>0</v>
      </c>
      <c r="T291" s="7">
        <v>200</v>
      </c>
      <c r="U291" s="3">
        <v>0</v>
      </c>
      <c r="V291" s="7">
        <v>0</v>
      </c>
      <c r="W291" s="7">
        <v>0</v>
      </c>
      <c r="X291" s="3">
        <v>0</v>
      </c>
      <c r="Y291" s="7">
        <v>0</v>
      </c>
    </row>
    <row r="292" spans="1:25" x14ac:dyDescent="0.25">
      <c r="A292" t="s">
        <v>25</v>
      </c>
      <c r="B292" t="s">
        <v>26</v>
      </c>
      <c r="C292" t="str">
        <f t="shared" si="61"/>
        <v>1</v>
      </c>
      <c r="D292" t="str">
        <f t="shared" si="59"/>
        <v>1</v>
      </c>
      <c r="E292" t="str">
        <f>"0001002"</f>
        <v>0001002</v>
      </c>
      <c r="F292" t="s">
        <v>72</v>
      </c>
      <c r="G292" t="str">
        <f t="shared" si="64"/>
        <v>13</v>
      </c>
      <c r="H292" t="str">
        <f t="shared" si="63"/>
        <v>01</v>
      </c>
      <c r="I292" t="s">
        <v>77</v>
      </c>
      <c r="J292" t="str">
        <f t="shared" si="60"/>
        <v>2101</v>
      </c>
      <c r="K292" t="str">
        <f t="shared" si="65"/>
        <v>07</v>
      </c>
      <c r="L292" s="3">
        <v>8300</v>
      </c>
      <c r="M292" s="5">
        <v>6000</v>
      </c>
      <c r="N292" s="7">
        <v>6000</v>
      </c>
      <c r="O292" s="3">
        <v>0</v>
      </c>
      <c r="P292" s="7">
        <v>0</v>
      </c>
      <c r="Q292" s="7">
        <v>0</v>
      </c>
      <c r="R292" s="7">
        <v>0</v>
      </c>
      <c r="S292" s="7">
        <v>0</v>
      </c>
      <c r="T292" s="7">
        <v>6000</v>
      </c>
      <c r="U292" s="3">
        <v>0</v>
      </c>
      <c r="V292" s="7">
        <v>0</v>
      </c>
      <c r="W292" s="7">
        <v>0</v>
      </c>
      <c r="X292" s="3">
        <v>0</v>
      </c>
      <c r="Y292" s="7">
        <v>0</v>
      </c>
    </row>
    <row r="293" spans="1:25" x14ac:dyDescent="0.25">
      <c r="A293" t="s">
        <v>25</v>
      </c>
      <c r="B293" t="s">
        <v>26</v>
      </c>
      <c r="C293" t="str">
        <f t="shared" si="61"/>
        <v>1</v>
      </c>
      <c r="D293" t="str">
        <f t="shared" si="59"/>
        <v>1</v>
      </c>
      <c r="E293" t="str">
        <f>"0001002"</f>
        <v>0001002</v>
      </c>
      <c r="F293" t="s">
        <v>72</v>
      </c>
      <c r="G293" t="str">
        <f t="shared" si="64"/>
        <v>13</v>
      </c>
      <c r="H293" t="str">
        <f t="shared" si="63"/>
        <v>01</v>
      </c>
      <c r="I293" t="s">
        <v>75</v>
      </c>
      <c r="J293" t="str">
        <f t="shared" si="60"/>
        <v>2101</v>
      </c>
      <c r="K293" t="str">
        <f>"01"</f>
        <v>01</v>
      </c>
      <c r="L293" s="3">
        <v>353</v>
      </c>
      <c r="M293" s="5">
        <v>250</v>
      </c>
      <c r="N293" s="7">
        <v>250</v>
      </c>
      <c r="O293" s="3">
        <v>1.65</v>
      </c>
      <c r="P293" s="7">
        <v>4.13</v>
      </c>
      <c r="Q293" s="7">
        <v>0</v>
      </c>
      <c r="R293" s="7">
        <v>0</v>
      </c>
      <c r="S293" s="7">
        <v>0</v>
      </c>
      <c r="T293" s="7">
        <v>250</v>
      </c>
      <c r="U293" s="3">
        <v>7.6</v>
      </c>
      <c r="V293" s="7">
        <v>19</v>
      </c>
      <c r="W293" s="7">
        <v>0</v>
      </c>
      <c r="X293" s="3">
        <v>0</v>
      </c>
      <c r="Y293" s="7">
        <v>0</v>
      </c>
    </row>
    <row r="294" spans="1:25" x14ac:dyDescent="0.25">
      <c r="A294" t="s">
        <v>25</v>
      </c>
      <c r="B294" t="s">
        <v>26</v>
      </c>
      <c r="C294" t="str">
        <f t="shared" si="61"/>
        <v>1</v>
      </c>
      <c r="D294" t="str">
        <f t="shared" si="59"/>
        <v>1</v>
      </c>
      <c r="E294" t="str">
        <f>"0001003"</f>
        <v>0001003</v>
      </c>
      <c r="F294" t="s">
        <v>72</v>
      </c>
      <c r="G294" t="str">
        <f>"1"</f>
        <v>1</v>
      </c>
      <c r="H294" t="str">
        <f t="shared" si="63"/>
        <v>01</v>
      </c>
      <c r="I294" t="s">
        <v>42</v>
      </c>
      <c r="J294" t="str">
        <f t="shared" si="60"/>
        <v>2101</v>
      </c>
      <c r="K294" t="str">
        <f>"01"</f>
        <v>01</v>
      </c>
      <c r="L294" s="3">
        <v>92.35</v>
      </c>
      <c r="M294" s="5">
        <v>75</v>
      </c>
      <c r="N294" s="7">
        <v>75</v>
      </c>
      <c r="O294" s="3">
        <v>1.65</v>
      </c>
      <c r="P294" s="7">
        <v>1.24</v>
      </c>
      <c r="Q294" s="7">
        <v>0</v>
      </c>
      <c r="R294" s="7">
        <v>0</v>
      </c>
      <c r="S294" s="7">
        <v>0</v>
      </c>
      <c r="T294" s="7">
        <v>75</v>
      </c>
      <c r="U294" s="3">
        <v>7.6</v>
      </c>
      <c r="V294" s="7">
        <v>5.7</v>
      </c>
      <c r="W294" s="7">
        <v>0</v>
      </c>
      <c r="X294" s="3">
        <v>0</v>
      </c>
      <c r="Y294" s="7">
        <v>0</v>
      </c>
    </row>
    <row r="295" spans="1:25" x14ac:dyDescent="0.25">
      <c r="A295" t="s">
        <v>25</v>
      </c>
      <c r="B295" t="s">
        <v>26</v>
      </c>
      <c r="C295" t="str">
        <f t="shared" si="61"/>
        <v>1</v>
      </c>
      <c r="D295" t="str">
        <f t="shared" si="59"/>
        <v>1</v>
      </c>
      <c r="E295" t="str">
        <f>"0001003"</f>
        <v>0001003</v>
      </c>
      <c r="F295" t="s">
        <v>72</v>
      </c>
      <c r="G295" t="str">
        <f>"1"</f>
        <v>1</v>
      </c>
      <c r="H295" t="str">
        <f t="shared" si="63"/>
        <v>01</v>
      </c>
      <c r="I295" t="s">
        <v>73</v>
      </c>
      <c r="J295" t="str">
        <f t="shared" si="60"/>
        <v>2101</v>
      </c>
      <c r="K295" t="str">
        <f>"01"</f>
        <v>01</v>
      </c>
      <c r="L295" s="3">
        <v>810</v>
      </c>
      <c r="M295" s="5">
        <v>600</v>
      </c>
      <c r="N295" s="7">
        <v>600</v>
      </c>
      <c r="O295" s="3">
        <v>1.65</v>
      </c>
      <c r="P295" s="7">
        <v>9.9</v>
      </c>
      <c r="Q295" s="7">
        <v>0</v>
      </c>
      <c r="R295" s="7">
        <v>0</v>
      </c>
      <c r="S295" s="7">
        <v>0</v>
      </c>
      <c r="T295" s="7">
        <v>600</v>
      </c>
      <c r="U295" s="3">
        <v>7.6</v>
      </c>
      <c r="V295" s="7">
        <v>45.6</v>
      </c>
      <c r="W295" s="7">
        <v>0</v>
      </c>
      <c r="X295" s="3">
        <v>0</v>
      </c>
      <c r="Y295" s="7">
        <v>0</v>
      </c>
    </row>
    <row r="296" spans="1:25" x14ac:dyDescent="0.25">
      <c r="A296" t="s">
        <v>25</v>
      </c>
      <c r="B296" t="s">
        <v>26</v>
      </c>
      <c r="C296" t="str">
        <f t="shared" si="61"/>
        <v>1</v>
      </c>
      <c r="D296" t="str">
        <f t="shared" si="59"/>
        <v>1</v>
      </c>
      <c r="E296" t="str">
        <f>"0001003"</f>
        <v>0001003</v>
      </c>
      <c r="F296" t="s">
        <v>72</v>
      </c>
      <c r="G296" t="str">
        <f>"1"</f>
        <v>1</v>
      </c>
      <c r="H296" t="str">
        <f t="shared" si="63"/>
        <v>01</v>
      </c>
      <c r="I296" t="s">
        <v>34</v>
      </c>
      <c r="J296" t="str">
        <f t="shared" si="60"/>
        <v>2101</v>
      </c>
      <c r="K296" t="str">
        <f>"01"</f>
        <v>01</v>
      </c>
      <c r="L296" s="3">
        <v>35.47</v>
      </c>
      <c r="M296" s="5">
        <v>30</v>
      </c>
      <c r="N296" s="7">
        <v>30</v>
      </c>
      <c r="O296" s="3">
        <v>1.65</v>
      </c>
      <c r="P296" s="7">
        <v>0.5</v>
      </c>
      <c r="Q296" s="7">
        <v>0</v>
      </c>
      <c r="R296" s="7">
        <v>0</v>
      </c>
      <c r="S296" s="7">
        <v>0</v>
      </c>
      <c r="T296" s="7">
        <v>30</v>
      </c>
      <c r="U296" s="3">
        <v>7.6</v>
      </c>
      <c r="V296" s="7">
        <v>2.2799999999999998</v>
      </c>
      <c r="W296" s="7">
        <v>0</v>
      </c>
      <c r="X296" s="3">
        <v>0</v>
      </c>
      <c r="Y296" s="7">
        <v>0</v>
      </c>
    </row>
    <row r="297" spans="1:25" x14ac:dyDescent="0.25">
      <c r="A297" t="s">
        <v>25</v>
      </c>
      <c r="B297" t="s">
        <v>26</v>
      </c>
      <c r="C297" t="str">
        <f t="shared" si="61"/>
        <v>1</v>
      </c>
      <c r="D297" t="str">
        <f t="shared" si="59"/>
        <v>1</v>
      </c>
      <c r="E297" t="str">
        <f>"0004589"</f>
        <v>0004589</v>
      </c>
      <c r="F297" t="s">
        <v>72</v>
      </c>
      <c r="G297" t="str">
        <f>"13"</f>
        <v>13</v>
      </c>
      <c r="H297" t="str">
        <f t="shared" si="63"/>
        <v>01</v>
      </c>
      <c r="I297" t="s">
        <v>34</v>
      </c>
      <c r="J297" t="str">
        <f t="shared" si="60"/>
        <v>2101</v>
      </c>
      <c r="K297" t="str">
        <f>"07"</f>
        <v>07</v>
      </c>
      <c r="L297" s="3">
        <v>747.36</v>
      </c>
      <c r="M297" s="5">
        <v>640</v>
      </c>
      <c r="N297" s="7">
        <v>640</v>
      </c>
      <c r="O297" s="3">
        <v>0</v>
      </c>
      <c r="P297" s="7">
        <v>0</v>
      </c>
      <c r="Q297" s="7">
        <v>0</v>
      </c>
      <c r="R297" s="7">
        <v>0</v>
      </c>
      <c r="S297" s="7">
        <v>0</v>
      </c>
      <c r="T297" s="7">
        <v>640</v>
      </c>
      <c r="U297" s="3">
        <v>0</v>
      </c>
      <c r="V297" s="7">
        <v>0</v>
      </c>
      <c r="W297" s="7">
        <v>0</v>
      </c>
      <c r="X297" s="3">
        <v>0</v>
      </c>
      <c r="Y297" s="7">
        <v>0</v>
      </c>
    </row>
    <row r="298" spans="1:25" x14ac:dyDescent="0.25">
      <c r="A298" t="s">
        <v>25</v>
      </c>
      <c r="B298" t="s">
        <v>26</v>
      </c>
      <c r="C298" t="str">
        <f t="shared" si="61"/>
        <v>1</v>
      </c>
      <c r="D298" t="str">
        <f t="shared" si="59"/>
        <v>1</v>
      </c>
      <c r="E298" t="str">
        <f>"0004589"</f>
        <v>0004589</v>
      </c>
      <c r="F298" t="s">
        <v>72</v>
      </c>
      <c r="G298" t="str">
        <f>"13"</f>
        <v>13</v>
      </c>
      <c r="H298" t="str">
        <f t="shared" si="63"/>
        <v>01</v>
      </c>
      <c r="I298" t="s">
        <v>73</v>
      </c>
      <c r="J298" t="str">
        <f t="shared" si="60"/>
        <v>2101</v>
      </c>
      <c r="K298" t="str">
        <f>"07"</f>
        <v>07</v>
      </c>
      <c r="L298" s="3">
        <v>2130</v>
      </c>
      <c r="M298" s="5">
        <v>1890</v>
      </c>
      <c r="N298" s="7">
        <v>1890</v>
      </c>
      <c r="O298" s="3">
        <v>0</v>
      </c>
      <c r="P298" s="7">
        <v>0</v>
      </c>
      <c r="Q298" s="7">
        <v>0</v>
      </c>
      <c r="R298" s="7">
        <v>0</v>
      </c>
      <c r="S298" s="7">
        <v>0</v>
      </c>
      <c r="T298" s="7">
        <v>1890</v>
      </c>
      <c r="U298" s="3">
        <v>0</v>
      </c>
      <c r="V298" s="7">
        <v>0</v>
      </c>
      <c r="W298" s="7">
        <v>0</v>
      </c>
      <c r="X298" s="3">
        <v>0</v>
      </c>
      <c r="Y298" s="7">
        <v>0</v>
      </c>
    </row>
    <row r="299" spans="1:25" x14ac:dyDescent="0.25">
      <c r="A299" t="s">
        <v>25</v>
      </c>
      <c r="B299" t="s">
        <v>26</v>
      </c>
      <c r="C299" t="str">
        <f t="shared" si="61"/>
        <v>1</v>
      </c>
      <c r="D299" t="str">
        <f t="shared" si="59"/>
        <v>1</v>
      </c>
      <c r="E299" t="str">
        <f>"0004590"</f>
        <v>0004590</v>
      </c>
      <c r="F299" t="s">
        <v>72</v>
      </c>
      <c r="G299" t="str">
        <f>"1"</f>
        <v>1</v>
      </c>
      <c r="H299" t="str">
        <f t="shared" si="63"/>
        <v>01</v>
      </c>
      <c r="I299" t="s">
        <v>67</v>
      </c>
      <c r="J299" t="str">
        <f t="shared" si="60"/>
        <v>2101</v>
      </c>
      <c r="K299" t="str">
        <f>"01"</f>
        <v>01</v>
      </c>
      <c r="L299" s="3">
        <v>198.56</v>
      </c>
      <c r="M299" s="5">
        <v>180</v>
      </c>
      <c r="N299" s="7">
        <v>180</v>
      </c>
      <c r="O299" s="3">
        <v>1.65</v>
      </c>
      <c r="P299" s="7">
        <v>2.97</v>
      </c>
      <c r="Q299" s="7">
        <v>0</v>
      </c>
      <c r="R299" s="7">
        <v>0</v>
      </c>
      <c r="S299" s="7">
        <v>0</v>
      </c>
      <c r="T299" s="7">
        <v>180</v>
      </c>
      <c r="U299" s="3">
        <v>7.6</v>
      </c>
      <c r="V299" s="7">
        <v>13.68</v>
      </c>
      <c r="W299" s="7">
        <v>0</v>
      </c>
      <c r="X299" s="3">
        <v>0</v>
      </c>
      <c r="Y299" s="7">
        <v>0</v>
      </c>
    </row>
    <row r="300" spans="1:25" x14ac:dyDescent="0.25">
      <c r="A300" t="s">
        <v>25</v>
      </c>
      <c r="B300" t="s">
        <v>26</v>
      </c>
      <c r="C300" t="str">
        <f t="shared" si="61"/>
        <v>1</v>
      </c>
      <c r="D300" t="str">
        <f t="shared" si="59"/>
        <v>1</v>
      </c>
      <c r="E300" t="str">
        <f>"0004590"</f>
        <v>0004590</v>
      </c>
      <c r="F300" t="s">
        <v>72</v>
      </c>
      <c r="G300" t="str">
        <f>"1"</f>
        <v>1</v>
      </c>
      <c r="H300" t="str">
        <f t="shared" si="63"/>
        <v>01</v>
      </c>
      <c r="I300" t="s">
        <v>77</v>
      </c>
      <c r="J300" t="str">
        <f t="shared" si="60"/>
        <v>2101</v>
      </c>
      <c r="K300" t="str">
        <f>"01"</f>
        <v>01</v>
      </c>
      <c r="L300" s="3">
        <v>901.45</v>
      </c>
      <c r="M300" s="5">
        <v>615</v>
      </c>
      <c r="N300" s="7">
        <v>615</v>
      </c>
      <c r="O300" s="3">
        <v>1.65</v>
      </c>
      <c r="P300" s="7">
        <v>10.15</v>
      </c>
      <c r="Q300" s="7">
        <v>0</v>
      </c>
      <c r="R300" s="7">
        <v>0</v>
      </c>
      <c r="S300" s="7">
        <v>0</v>
      </c>
      <c r="T300" s="7">
        <v>615</v>
      </c>
      <c r="U300" s="3">
        <v>7.6</v>
      </c>
      <c r="V300" s="7">
        <v>46.74</v>
      </c>
      <c r="W300" s="7">
        <v>0</v>
      </c>
      <c r="X300" s="3">
        <v>0</v>
      </c>
      <c r="Y300" s="7">
        <v>0</v>
      </c>
    </row>
    <row r="301" spans="1:25" x14ac:dyDescent="0.25">
      <c r="A301" t="s">
        <v>25</v>
      </c>
      <c r="B301" t="s">
        <v>26</v>
      </c>
      <c r="C301" t="str">
        <f t="shared" si="61"/>
        <v>1</v>
      </c>
      <c r="D301" t="str">
        <f t="shared" ref="D301:D310" si="66">"5"</f>
        <v>5</v>
      </c>
      <c r="E301" t="str">
        <f>"0010800"</f>
        <v>0010800</v>
      </c>
      <c r="F301" t="s">
        <v>80</v>
      </c>
      <c r="G301" t="str">
        <f>"70"</f>
        <v>70</v>
      </c>
      <c r="H301" t="str">
        <f t="shared" si="63"/>
        <v>01</v>
      </c>
      <c r="I301" t="s">
        <v>81</v>
      </c>
      <c r="J301" t="str">
        <f t="shared" si="60"/>
        <v>2101</v>
      </c>
      <c r="K301" t="str">
        <f t="shared" ref="K301:K313" si="67">"07"</f>
        <v>07</v>
      </c>
      <c r="L301" s="3">
        <v>1000</v>
      </c>
      <c r="M301" s="5">
        <v>1000</v>
      </c>
      <c r="N301" s="7">
        <v>1000</v>
      </c>
      <c r="O301" s="3">
        <v>0</v>
      </c>
      <c r="P301" s="7">
        <v>0</v>
      </c>
      <c r="Q301" s="7">
        <v>0</v>
      </c>
      <c r="R301" s="7">
        <v>0</v>
      </c>
      <c r="S301" s="7">
        <v>0</v>
      </c>
      <c r="T301" s="7">
        <v>1000</v>
      </c>
      <c r="U301" s="3">
        <v>0</v>
      </c>
      <c r="V301" s="7">
        <v>0</v>
      </c>
      <c r="W301" s="7">
        <v>0</v>
      </c>
      <c r="X301" s="3">
        <v>0</v>
      </c>
      <c r="Y301" s="7">
        <v>0</v>
      </c>
    </row>
    <row r="302" spans="1:25" x14ac:dyDescent="0.25">
      <c r="A302" t="s">
        <v>25</v>
      </c>
      <c r="B302" t="s">
        <v>26</v>
      </c>
      <c r="C302" t="str">
        <f t="shared" si="61"/>
        <v>1</v>
      </c>
      <c r="D302" t="str">
        <f t="shared" si="66"/>
        <v>5</v>
      </c>
      <c r="E302" t="str">
        <f>"0010800"</f>
        <v>0010800</v>
      </c>
      <c r="F302" t="s">
        <v>80</v>
      </c>
      <c r="G302" t="str">
        <f>"70"</f>
        <v>70</v>
      </c>
      <c r="H302" t="str">
        <f t="shared" si="63"/>
        <v>01</v>
      </c>
      <c r="I302" t="s">
        <v>82</v>
      </c>
      <c r="J302" t="str">
        <f t="shared" si="60"/>
        <v>2101</v>
      </c>
      <c r="K302" t="str">
        <f t="shared" si="67"/>
        <v>07</v>
      </c>
      <c r="L302" s="3">
        <v>10000</v>
      </c>
      <c r="M302" s="5">
        <v>10000</v>
      </c>
      <c r="N302" s="7">
        <v>10000</v>
      </c>
      <c r="O302" s="3">
        <v>0</v>
      </c>
      <c r="P302" s="7">
        <v>0</v>
      </c>
      <c r="Q302" s="7">
        <v>0</v>
      </c>
      <c r="R302" s="7">
        <v>0</v>
      </c>
      <c r="S302" s="7">
        <v>0</v>
      </c>
      <c r="T302" s="7">
        <v>10000</v>
      </c>
      <c r="U302" s="3">
        <v>0</v>
      </c>
      <c r="V302" s="7">
        <v>0</v>
      </c>
      <c r="W302" s="7">
        <v>0</v>
      </c>
      <c r="X302" s="3">
        <v>0</v>
      </c>
      <c r="Y302" s="7">
        <v>0</v>
      </c>
    </row>
    <row r="303" spans="1:25" x14ac:dyDescent="0.25">
      <c r="A303" t="s">
        <v>25</v>
      </c>
      <c r="B303" t="s">
        <v>26</v>
      </c>
      <c r="C303" t="str">
        <f t="shared" si="61"/>
        <v>1</v>
      </c>
      <c r="D303" t="str">
        <f t="shared" si="66"/>
        <v>5</v>
      </c>
      <c r="E303" t="str">
        <f>"0020800"</f>
        <v>0020800</v>
      </c>
      <c r="F303" t="s">
        <v>80</v>
      </c>
      <c r="G303" t="str">
        <f>"81"</f>
        <v>81</v>
      </c>
      <c r="H303" t="str">
        <f t="shared" si="63"/>
        <v>01</v>
      </c>
      <c r="I303" t="s">
        <v>83</v>
      </c>
      <c r="J303" t="str">
        <f t="shared" si="60"/>
        <v>2101</v>
      </c>
      <c r="K303" t="str">
        <f t="shared" si="67"/>
        <v>07</v>
      </c>
      <c r="L303" s="3">
        <v>10000</v>
      </c>
      <c r="M303" s="5">
        <v>10000</v>
      </c>
      <c r="N303" s="7">
        <v>10000</v>
      </c>
      <c r="O303" s="3">
        <v>0</v>
      </c>
      <c r="P303" s="7">
        <v>0</v>
      </c>
      <c r="Q303" s="7">
        <v>0</v>
      </c>
      <c r="R303" s="7">
        <v>0</v>
      </c>
      <c r="S303" s="7">
        <v>0</v>
      </c>
      <c r="T303" s="7">
        <v>10000</v>
      </c>
      <c r="U303" s="3">
        <v>0</v>
      </c>
      <c r="V303" s="7">
        <v>0</v>
      </c>
      <c r="W303" s="7">
        <v>0</v>
      </c>
      <c r="X303" s="3">
        <v>0</v>
      </c>
      <c r="Y303" s="7">
        <v>0</v>
      </c>
    </row>
    <row r="304" spans="1:25" x14ac:dyDescent="0.25">
      <c r="A304" t="s">
        <v>25</v>
      </c>
      <c r="B304" t="s">
        <v>26</v>
      </c>
      <c r="C304" t="str">
        <f t="shared" si="61"/>
        <v>1</v>
      </c>
      <c r="D304" t="str">
        <f t="shared" si="66"/>
        <v>5</v>
      </c>
      <c r="E304" t="str">
        <f>"0020800"</f>
        <v>0020800</v>
      </c>
      <c r="F304" t="s">
        <v>80</v>
      </c>
      <c r="G304" t="str">
        <f>"81"</f>
        <v>81</v>
      </c>
      <c r="H304" t="str">
        <f t="shared" si="63"/>
        <v>01</v>
      </c>
      <c r="I304" t="s">
        <v>56</v>
      </c>
      <c r="J304" t="str">
        <f t="shared" si="60"/>
        <v>2101</v>
      </c>
      <c r="K304" t="str">
        <f t="shared" si="67"/>
        <v>07</v>
      </c>
      <c r="L304" s="3">
        <v>12000</v>
      </c>
      <c r="M304" s="5">
        <v>12000</v>
      </c>
      <c r="N304" s="7">
        <v>12000</v>
      </c>
      <c r="O304" s="3">
        <v>0</v>
      </c>
      <c r="P304" s="7">
        <v>0</v>
      </c>
      <c r="Q304" s="7">
        <v>0</v>
      </c>
      <c r="R304" s="7">
        <v>0</v>
      </c>
      <c r="S304" s="7">
        <v>0</v>
      </c>
      <c r="T304" s="7">
        <v>12000</v>
      </c>
      <c r="U304" s="3">
        <v>0</v>
      </c>
      <c r="V304" s="7">
        <v>0</v>
      </c>
      <c r="W304" s="7">
        <v>0</v>
      </c>
      <c r="X304" s="3">
        <v>0</v>
      </c>
      <c r="Y304" s="7">
        <v>0</v>
      </c>
    </row>
    <row r="305" spans="1:25" x14ac:dyDescent="0.25">
      <c r="A305" t="s">
        <v>25</v>
      </c>
      <c r="B305" t="s">
        <v>26</v>
      </c>
      <c r="C305" t="str">
        <f t="shared" si="61"/>
        <v>1</v>
      </c>
      <c r="D305" t="str">
        <f t="shared" si="66"/>
        <v>5</v>
      </c>
      <c r="E305" t="str">
        <f t="shared" ref="E305:E310" si="68">"0040800"</f>
        <v>0040800</v>
      </c>
      <c r="F305" t="s">
        <v>80</v>
      </c>
      <c r="G305" t="str">
        <f>"81"</f>
        <v>81</v>
      </c>
      <c r="H305" t="str">
        <f t="shared" si="63"/>
        <v>01</v>
      </c>
      <c r="I305" t="s">
        <v>84</v>
      </c>
      <c r="J305" t="str">
        <f t="shared" si="60"/>
        <v>2101</v>
      </c>
      <c r="K305" t="str">
        <f t="shared" si="67"/>
        <v>07</v>
      </c>
      <c r="L305" s="3">
        <v>1000</v>
      </c>
      <c r="M305" s="5">
        <v>1000</v>
      </c>
      <c r="N305" s="7">
        <v>1000</v>
      </c>
      <c r="O305" s="3">
        <v>0</v>
      </c>
      <c r="P305" s="7">
        <v>0</v>
      </c>
      <c r="Q305" s="7">
        <v>0</v>
      </c>
      <c r="R305" s="7">
        <v>0</v>
      </c>
      <c r="S305" s="7">
        <v>0</v>
      </c>
      <c r="T305" s="7">
        <v>1000</v>
      </c>
      <c r="U305" s="3">
        <v>0</v>
      </c>
      <c r="V305" s="7">
        <v>0</v>
      </c>
      <c r="W305" s="7">
        <v>0</v>
      </c>
      <c r="X305" s="3">
        <v>0</v>
      </c>
      <c r="Y305" s="7">
        <v>0</v>
      </c>
    </row>
    <row r="306" spans="1:25" x14ac:dyDescent="0.25">
      <c r="A306" t="s">
        <v>25</v>
      </c>
      <c r="B306" t="s">
        <v>26</v>
      </c>
      <c r="C306" t="str">
        <f t="shared" si="61"/>
        <v>1</v>
      </c>
      <c r="D306" t="str">
        <f t="shared" si="66"/>
        <v>5</v>
      </c>
      <c r="E306" t="str">
        <f t="shared" si="68"/>
        <v>0040800</v>
      </c>
      <c r="F306" t="s">
        <v>80</v>
      </c>
      <c r="G306" t="str">
        <f>"81"</f>
        <v>81</v>
      </c>
      <c r="H306" t="str">
        <f t="shared" si="63"/>
        <v>01</v>
      </c>
      <c r="I306" t="s">
        <v>85</v>
      </c>
      <c r="J306" t="str">
        <f t="shared" si="60"/>
        <v>2101</v>
      </c>
      <c r="K306" t="str">
        <f t="shared" si="67"/>
        <v>07</v>
      </c>
      <c r="L306" s="3">
        <v>1000</v>
      </c>
      <c r="M306" s="5">
        <v>1000</v>
      </c>
      <c r="N306" s="7">
        <v>1000</v>
      </c>
      <c r="O306" s="3">
        <v>0</v>
      </c>
      <c r="P306" s="7">
        <v>0</v>
      </c>
      <c r="Q306" s="7">
        <v>0</v>
      </c>
      <c r="R306" s="7">
        <v>0</v>
      </c>
      <c r="S306" s="7">
        <v>0</v>
      </c>
      <c r="T306" s="7">
        <v>1000</v>
      </c>
      <c r="U306" s="3">
        <v>0</v>
      </c>
      <c r="V306" s="7">
        <v>0</v>
      </c>
      <c r="W306" s="7">
        <v>0</v>
      </c>
      <c r="X306" s="3">
        <v>0</v>
      </c>
      <c r="Y306" s="7">
        <v>0</v>
      </c>
    </row>
    <row r="307" spans="1:25" x14ac:dyDescent="0.25">
      <c r="A307" t="s">
        <v>25</v>
      </c>
      <c r="B307" t="s">
        <v>26</v>
      </c>
      <c r="C307" t="str">
        <f t="shared" si="61"/>
        <v>1</v>
      </c>
      <c r="D307" t="str">
        <f t="shared" si="66"/>
        <v>5</v>
      </c>
      <c r="E307" t="str">
        <f t="shared" si="68"/>
        <v>0040800</v>
      </c>
      <c r="F307" t="s">
        <v>80</v>
      </c>
      <c r="G307" t="str">
        <f>"70"</f>
        <v>70</v>
      </c>
      <c r="H307" t="str">
        <f t="shared" si="63"/>
        <v>01</v>
      </c>
      <c r="I307" t="s">
        <v>86</v>
      </c>
      <c r="J307" t="str">
        <f t="shared" si="60"/>
        <v>2101</v>
      </c>
      <c r="K307" t="str">
        <f t="shared" si="67"/>
        <v>07</v>
      </c>
      <c r="L307" s="3">
        <v>10000</v>
      </c>
      <c r="M307" s="5">
        <v>10000</v>
      </c>
      <c r="N307" s="7">
        <v>10000</v>
      </c>
      <c r="O307" s="3">
        <v>0</v>
      </c>
      <c r="P307" s="7">
        <v>0</v>
      </c>
      <c r="Q307" s="7">
        <v>0</v>
      </c>
      <c r="R307" s="7">
        <v>0</v>
      </c>
      <c r="S307" s="7">
        <v>0</v>
      </c>
      <c r="T307" s="7">
        <v>10000</v>
      </c>
      <c r="U307" s="3">
        <v>0</v>
      </c>
      <c r="V307" s="7">
        <v>0</v>
      </c>
      <c r="W307" s="7">
        <v>0</v>
      </c>
      <c r="X307" s="3">
        <v>0</v>
      </c>
      <c r="Y307" s="7">
        <v>0</v>
      </c>
    </row>
    <row r="308" spans="1:25" x14ac:dyDescent="0.25">
      <c r="A308" t="s">
        <v>25</v>
      </c>
      <c r="B308" t="s">
        <v>26</v>
      </c>
      <c r="C308" t="str">
        <f t="shared" si="61"/>
        <v>1</v>
      </c>
      <c r="D308" t="str">
        <f t="shared" si="66"/>
        <v>5</v>
      </c>
      <c r="E308" t="str">
        <f t="shared" si="68"/>
        <v>0040800</v>
      </c>
      <c r="F308" t="s">
        <v>80</v>
      </c>
      <c r="G308" t="str">
        <f>"70"</f>
        <v>70</v>
      </c>
      <c r="H308" t="str">
        <f t="shared" si="63"/>
        <v>01</v>
      </c>
      <c r="I308" t="s">
        <v>81</v>
      </c>
      <c r="J308" t="str">
        <f t="shared" si="60"/>
        <v>2101</v>
      </c>
      <c r="K308" t="str">
        <f t="shared" si="67"/>
        <v>07</v>
      </c>
      <c r="L308" s="3">
        <v>10000</v>
      </c>
      <c r="M308" s="5">
        <v>10000</v>
      </c>
      <c r="N308" s="7">
        <v>10000</v>
      </c>
      <c r="O308" s="3">
        <v>0</v>
      </c>
      <c r="P308" s="7">
        <v>0</v>
      </c>
      <c r="Q308" s="7">
        <v>0</v>
      </c>
      <c r="R308" s="7">
        <v>0</v>
      </c>
      <c r="S308" s="7">
        <v>0</v>
      </c>
      <c r="T308" s="7">
        <v>10000</v>
      </c>
      <c r="U308" s="3">
        <v>0</v>
      </c>
      <c r="V308" s="7">
        <v>0</v>
      </c>
      <c r="W308" s="7">
        <v>0</v>
      </c>
      <c r="X308" s="3">
        <v>0</v>
      </c>
      <c r="Y308" s="7">
        <v>0</v>
      </c>
    </row>
    <row r="309" spans="1:25" x14ac:dyDescent="0.25">
      <c r="A309" t="s">
        <v>25</v>
      </c>
      <c r="B309" t="s">
        <v>26</v>
      </c>
      <c r="C309" t="str">
        <f t="shared" si="61"/>
        <v>1</v>
      </c>
      <c r="D309" t="str">
        <f t="shared" si="66"/>
        <v>5</v>
      </c>
      <c r="E309" t="str">
        <f t="shared" si="68"/>
        <v>0040800</v>
      </c>
      <c r="F309" t="s">
        <v>80</v>
      </c>
      <c r="G309" t="str">
        <f>"70"</f>
        <v>70</v>
      </c>
      <c r="H309" t="str">
        <f t="shared" si="63"/>
        <v>01</v>
      </c>
      <c r="I309" t="s">
        <v>84</v>
      </c>
      <c r="J309" t="str">
        <f t="shared" si="60"/>
        <v>2101</v>
      </c>
      <c r="K309" t="str">
        <f t="shared" si="67"/>
        <v>07</v>
      </c>
      <c r="L309" s="3">
        <v>10000</v>
      </c>
      <c r="M309" s="5">
        <v>10000</v>
      </c>
      <c r="N309" s="7">
        <v>10000</v>
      </c>
      <c r="O309" s="3">
        <v>0</v>
      </c>
      <c r="P309" s="7">
        <v>0</v>
      </c>
      <c r="Q309" s="7">
        <v>0</v>
      </c>
      <c r="R309" s="7">
        <v>0</v>
      </c>
      <c r="S309" s="7">
        <v>0</v>
      </c>
      <c r="T309" s="7">
        <v>10000</v>
      </c>
      <c r="U309" s="3">
        <v>0</v>
      </c>
      <c r="V309" s="7">
        <v>0</v>
      </c>
      <c r="W309" s="7">
        <v>0</v>
      </c>
      <c r="X309" s="3">
        <v>0</v>
      </c>
      <c r="Y309" s="7">
        <v>0</v>
      </c>
    </row>
    <row r="310" spans="1:25" x14ac:dyDescent="0.25">
      <c r="A310" t="s">
        <v>25</v>
      </c>
      <c r="B310" t="s">
        <v>26</v>
      </c>
      <c r="C310" t="str">
        <f t="shared" ref="C310:C317" si="69">"1"</f>
        <v>1</v>
      </c>
      <c r="D310" t="str">
        <f t="shared" si="66"/>
        <v>5</v>
      </c>
      <c r="E310" t="str">
        <f t="shared" si="68"/>
        <v>0040800</v>
      </c>
      <c r="F310" t="s">
        <v>80</v>
      </c>
      <c r="G310" t="str">
        <f>"81"</f>
        <v>81</v>
      </c>
      <c r="H310" t="str">
        <f t="shared" si="63"/>
        <v>01</v>
      </c>
      <c r="I310" t="s">
        <v>86</v>
      </c>
      <c r="J310" t="str">
        <f t="shared" si="60"/>
        <v>2101</v>
      </c>
      <c r="K310" t="str">
        <f t="shared" si="67"/>
        <v>07</v>
      </c>
      <c r="L310" s="3">
        <v>10000</v>
      </c>
      <c r="M310" s="5">
        <v>10000</v>
      </c>
      <c r="N310" s="7">
        <v>10000</v>
      </c>
      <c r="O310" s="3">
        <v>0</v>
      </c>
      <c r="P310" s="7">
        <v>0</v>
      </c>
      <c r="Q310" s="7">
        <v>0</v>
      </c>
      <c r="R310" s="7">
        <v>0</v>
      </c>
      <c r="S310" s="7">
        <v>0</v>
      </c>
      <c r="T310" s="7">
        <v>10000</v>
      </c>
      <c r="U310" s="3">
        <v>0</v>
      </c>
      <c r="V310" s="7">
        <v>0</v>
      </c>
      <c r="W310" s="7">
        <v>0</v>
      </c>
      <c r="X310" s="3">
        <v>0</v>
      </c>
      <c r="Y310" s="7">
        <v>0</v>
      </c>
    </row>
    <row r="311" spans="1:25" x14ac:dyDescent="0.25">
      <c r="A311" t="s">
        <v>25</v>
      </c>
      <c r="B311" t="s">
        <v>26</v>
      </c>
      <c r="C311" t="str">
        <f t="shared" si="69"/>
        <v>1</v>
      </c>
      <c r="D311" t="str">
        <f t="shared" ref="D311:D317" si="70">"1"</f>
        <v>1</v>
      </c>
      <c r="E311" t="str">
        <f>"0201701"</f>
        <v>0201701</v>
      </c>
      <c r="F311" t="s">
        <v>87</v>
      </c>
      <c r="G311" t="str">
        <f>"13"</f>
        <v>13</v>
      </c>
      <c r="H311" t="str">
        <f t="shared" si="63"/>
        <v>01</v>
      </c>
      <c r="I311" t="s">
        <v>67</v>
      </c>
      <c r="J311" t="str">
        <f t="shared" si="60"/>
        <v>2101</v>
      </c>
      <c r="K311" t="str">
        <f t="shared" si="67"/>
        <v>07</v>
      </c>
      <c r="L311" s="3">
        <v>1625</v>
      </c>
      <c r="M311" s="5">
        <v>1300</v>
      </c>
      <c r="N311" s="7">
        <v>1300</v>
      </c>
      <c r="O311" s="3">
        <v>0</v>
      </c>
      <c r="P311" s="7">
        <v>0</v>
      </c>
      <c r="Q311" s="7">
        <v>0</v>
      </c>
      <c r="R311" s="7">
        <v>0</v>
      </c>
      <c r="S311" s="7">
        <v>0</v>
      </c>
      <c r="T311" s="7">
        <v>1300</v>
      </c>
      <c r="U311" s="3">
        <v>0</v>
      </c>
      <c r="V311" s="7">
        <v>0</v>
      </c>
      <c r="W311" s="7">
        <v>0</v>
      </c>
      <c r="X311" s="3">
        <v>0</v>
      </c>
      <c r="Y311" s="7">
        <v>0</v>
      </c>
    </row>
    <row r="312" spans="1:25" x14ac:dyDescent="0.25">
      <c r="A312" t="s">
        <v>25</v>
      </c>
      <c r="B312" t="s">
        <v>26</v>
      </c>
      <c r="C312" t="str">
        <f t="shared" si="69"/>
        <v>1</v>
      </c>
      <c r="D312" t="str">
        <f t="shared" si="70"/>
        <v>1</v>
      </c>
      <c r="E312" t="str">
        <f>"0201701"</f>
        <v>0201701</v>
      </c>
      <c r="F312" t="s">
        <v>87</v>
      </c>
      <c r="G312" t="str">
        <f>"13"</f>
        <v>13</v>
      </c>
      <c r="H312" t="str">
        <f t="shared" si="63"/>
        <v>01</v>
      </c>
      <c r="I312" t="s">
        <v>88</v>
      </c>
      <c r="J312" t="str">
        <f t="shared" si="60"/>
        <v>2101</v>
      </c>
      <c r="K312" t="str">
        <f t="shared" si="67"/>
        <v>07</v>
      </c>
      <c r="L312" s="3">
        <v>254.62</v>
      </c>
      <c r="M312" s="5">
        <v>203.7</v>
      </c>
      <c r="N312" s="7">
        <v>203.7</v>
      </c>
      <c r="O312" s="3">
        <v>0</v>
      </c>
      <c r="P312" s="7">
        <v>0</v>
      </c>
      <c r="Q312" s="7">
        <v>0</v>
      </c>
      <c r="R312" s="7">
        <v>0</v>
      </c>
      <c r="S312" s="7">
        <v>0</v>
      </c>
      <c r="T312" s="7">
        <v>203.7</v>
      </c>
      <c r="U312" s="3">
        <v>0</v>
      </c>
      <c r="V312" s="7">
        <v>0</v>
      </c>
      <c r="W312" s="7">
        <v>0</v>
      </c>
      <c r="X312" s="3">
        <v>0</v>
      </c>
      <c r="Y312" s="7">
        <v>0</v>
      </c>
    </row>
    <row r="313" spans="1:25" x14ac:dyDescent="0.25">
      <c r="A313" t="s">
        <v>25</v>
      </c>
      <c r="B313" t="s">
        <v>26</v>
      </c>
      <c r="C313" t="str">
        <f t="shared" si="69"/>
        <v>1</v>
      </c>
      <c r="D313" t="str">
        <f t="shared" si="70"/>
        <v>1</v>
      </c>
      <c r="E313" t="str">
        <f>"0201701"</f>
        <v>0201701</v>
      </c>
      <c r="F313" t="s">
        <v>87</v>
      </c>
      <c r="G313" t="str">
        <f>"13"</f>
        <v>13</v>
      </c>
      <c r="H313" t="str">
        <f t="shared" si="63"/>
        <v>01</v>
      </c>
      <c r="I313" t="s">
        <v>62</v>
      </c>
      <c r="J313" t="str">
        <f t="shared" si="60"/>
        <v>2101</v>
      </c>
      <c r="K313" t="str">
        <f t="shared" si="67"/>
        <v>07</v>
      </c>
      <c r="L313" s="3">
        <v>187.5</v>
      </c>
      <c r="M313" s="5">
        <v>150</v>
      </c>
      <c r="N313" s="7">
        <v>150</v>
      </c>
      <c r="O313" s="3">
        <v>0</v>
      </c>
      <c r="P313" s="7">
        <v>0</v>
      </c>
      <c r="Q313" s="7">
        <v>0</v>
      </c>
      <c r="R313" s="7">
        <v>0</v>
      </c>
      <c r="S313" s="7">
        <v>0</v>
      </c>
      <c r="T313" s="7">
        <v>150</v>
      </c>
      <c r="U313" s="3">
        <v>0</v>
      </c>
      <c r="V313" s="7">
        <v>0</v>
      </c>
      <c r="W313" s="7">
        <v>0</v>
      </c>
      <c r="X313" s="3">
        <v>0</v>
      </c>
      <c r="Y313" s="7">
        <v>0</v>
      </c>
    </row>
    <row r="314" spans="1:25" x14ac:dyDescent="0.25">
      <c r="A314" t="s">
        <v>25</v>
      </c>
      <c r="B314" t="s">
        <v>26</v>
      </c>
      <c r="C314" t="str">
        <f t="shared" si="69"/>
        <v>1</v>
      </c>
      <c r="D314" t="str">
        <f t="shared" si="70"/>
        <v>1</v>
      </c>
      <c r="E314" t="str">
        <f>"0201701"</f>
        <v>0201701</v>
      </c>
      <c r="F314" t="s">
        <v>87</v>
      </c>
      <c r="G314" t="str">
        <f>"1"</f>
        <v>1</v>
      </c>
      <c r="H314" t="str">
        <f t="shared" ref="H314:H328" si="71">"01"</f>
        <v>01</v>
      </c>
      <c r="I314" t="s">
        <v>77</v>
      </c>
      <c r="J314" t="str">
        <f t="shared" si="60"/>
        <v>2101</v>
      </c>
      <c r="K314" t="str">
        <f>"01"</f>
        <v>01</v>
      </c>
      <c r="L314" s="3">
        <v>750</v>
      </c>
      <c r="M314" s="5">
        <v>600</v>
      </c>
      <c r="N314" s="7">
        <v>600</v>
      </c>
      <c r="O314" s="3">
        <v>1.65</v>
      </c>
      <c r="P314" s="7">
        <v>9.9</v>
      </c>
      <c r="Q314" s="7">
        <v>0</v>
      </c>
      <c r="R314" s="7">
        <v>0</v>
      </c>
      <c r="S314" s="7">
        <v>0</v>
      </c>
      <c r="T314" s="7">
        <v>600</v>
      </c>
      <c r="U314" s="3">
        <v>7.6</v>
      </c>
      <c r="V314" s="7">
        <v>45.6</v>
      </c>
      <c r="W314" s="7">
        <v>0</v>
      </c>
      <c r="X314" s="3">
        <v>0</v>
      </c>
      <c r="Y314" s="7">
        <v>0</v>
      </c>
    </row>
    <row r="315" spans="1:25" x14ac:dyDescent="0.25">
      <c r="A315" t="s">
        <v>25</v>
      </c>
      <c r="B315" t="s">
        <v>26</v>
      </c>
      <c r="C315" t="str">
        <f t="shared" si="69"/>
        <v>1</v>
      </c>
      <c r="D315" t="str">
        <f t="shared" si="70"/>
        <v>1</v>
      </c>
      <c r="E315" t="str">
        <f>"0201701"</f>
        <v>0201701</v>
      </c>
      <c r="F315" t="s">
        <v>87</v>
      </c>
      <c r="G315" t="str">
        <f>"1"</f>
        <v>1</v>
      </c>
      <c r="H315" t="str">
        <f t="shared" si="71"/>
        <v>01</v>
      </c>
      <c r="I315" t="s">
        <v>89</v>
      </c>
      <c r="J315" t="str">
        <f t="shared" si="60"/>
        <v>2101</v>
      </c>
      <c r="K315" t="str">
        <f>"01"</f>
        <v>01</v>
      </c>
      <c r="L315" s="3">
        <v>195</v>
      </c>
      <c r="M315" s="5">
        <v>156</v>
      </c>
      <c r="N315" s="7">
        <v>156</v>
      </c>
      <c r="O315" s="3">
        <v>1.65</v>
      </c>
      <c r="P315" s="7">
        <v>2.57</v>
      </c>
      <c r="Q315" s="7">
        <v>0</v>
      </c>
      <c r="R315" s="7">
        <v>0</v>
      </c>
      <c r="S315" s="7">
        <v>0</v>
      </c>
      <c r="T315" s="7">
        <v>156</v>
      </c>
      <c r="U315" s="3">
        <v>7.6</v>
      </c>
      <c r="V315" s="7">
        <v>11.86</v>
      </c>
      <c r="W315" s="7">
        <v>0</v>
      </c>
      <c r="X315" s="3">
        <v>0</v>
      </c>
      <c r="Y315" s="7">
        <v>0</v>
      </c>
    </row>
    <row r="316" spans="1:25" x14ac:dyDescent="0.25">
      <c r="A316" t="s">
        <v>25</v>
      </c>
      <c r="B316" t="s">
        <v>26</v>
      </c>
      <c r="C316" t="str">
        <f t="shared" si="69"/>
        <v>1</v>
      </c>
      <c r="D316" t="str">
        <f t="shared" si="70"/>
        <v>1</v>
      </c>
      <c r="E316" t="str">
        <f>"0201703"</f>
        <v>0201703</v>
      </c>
      <c r="F316" t="s">
        <v>87</v>
      </c>
      <c r="G316" t="str">
        <f>"13"</f>
        <v>13</v>
      </c>
      <c r="H316" t="str">
        <f t="shared" si="71"/>
        <v>01</v>
      </c>
      <c r="I316" t="s">
        <v>90</v>
      </c>
      <c r="J316" t="str">
        <f t="shared" si="60"/>
        <v>2101</v>
      </c>
      <c r="K316" t="str">
        <f t="shared" ref="K316:K332" si="72">"07"</f>
        <v>07</v>
      </c>
      <c r="L316" s="3">
        <v>840</v>
      </c>
      <c r="M316" s="5">
        <v>600</v>
      </c>
      <c r="N316" s="7">
        <v>600</v>
      </c>
      <c r="O316" s="3">
        <v>0</v>
      </c>
      <c r="P316" s="7">
        <v>0</v>
      </c>
      <c r="Q316" s="7">
        <v>0</v>
      </c>
      <c r="R316" s="7">
        <v>0</v>
      </c>
      <c r="S316" s="7">
        <v>0</v>
      </c>
      <c r="T316" s="7">
        <v>600</v>
      </c>
      <c r="U316" s="3">
        <v>0</v>
      </c>
      <c r="V316" s="7">
        <v>0</v>
      </c>
      <c r="W316" s="7">
        <v>0</v>
      </c>
      <c r="X316" s="3">
        <v>0</v>
      </c>
      <c r="Y316" s="7">
        <v>0</v>
      </c>
    </row>
    <row r="317" spans="1:25" x14ac:dyDescent="0.25">
      <c r="A317" t="s">
        <v>25</v>
      </c>
      <c r="B317" t="s">
        <v>26</v>
      </c>
      <c r="C317" t="str">
        <f t="shared" si="69"/>
        <v>1</v>
      </c>
      <c r="D317" t="str">
        <f t="shared" si="70"/>
        <v>1</v>
      </c>
      <c r="E317" t="str">
        <f>"0201703"</f>
        <v>0201703</v>
      </c>
      <c r="F317" t="s">
        <v>87</v>
      </c>
      <c r="G317" t="str">
        <f>"13"</f>
        <v>13</v>
      </c>
      <c r="H317" t="str">
        <f t="shared" si="71"/>
        <v>01</v>
      </c>
      <c r="I317" t="s">
        <v>77</v>
      </c>
      <c r="J317" t="str">
        <f t="shared" si="60"/>
        <v>2101</v>
      </c>
      <c r="K317" t="str">
        <f t="shared" si="72"/>
        <v>07</v>
      </c>
      <c r="L317" s="3">
        <v>325</v>
      </c>
      <c r="M317" s="5">
        <v>260</v>
      </c>
      <c r="N317" s="7">
        <v>260</v>
      </c>
      <c r="O317" s="3">
        <v>0</v>
      </c>
      <c r="P317" s="7">
        <v>0</v>
      </c>
      <c r="Q317" s="7">
        <v>0</v>
      </c>
      <c r="R317" s="7">
        <v>0</v>
      </c>
      <c r="S317" s="7">
        <v>0</v>
      </c>
      <c r="T317" s="7">
        <v>260</v>
      </c>
      <c r="U317" s="3">
        <v>0</v>
      </c>
      <c r="V317" s="7">
        <v>0</v>
      </c>
      <c r="W317" s="7">
        <v>0</v>
      </c>
      <c r="X317" s="3">
        <v>0</v>
      </c>
      <c r="Y317" s="7">
        <v>0</v>
      </c>
    </row>
    <row r="318" spans="1:25" x14ac:dyDescent="0.25">
      <c r="A318" t="s">
        <v>25</v>
      </c>
      <c r="B318" t="s">
        <v>26</v>
      </c>
      <c r="C318" t="str">
        <f t="shared" ref="C318:C325" si="73">"10000"</f>
        <v>10000</v>
      </c>
      <c r="D318" t="str">
        <f>"5"</f>
        <v>5</v>
      </c>
      <c r="E318" t="str">
        <f>"0000021"</f>
        <v>0000021</v>
      </c>
      <c r="F318" t="str">
        <f t="shared" ref="F318:F325" si="74">"210203"</f>
        <v>210203</v>
      </c>
      <c r="G318" t="str">
        <f>"90000035"</f>
        <v>90000035</v>
      </c>
      <c r="H318" t="str">
        <f t="shared" si="71"/>
        <v>01</v>
      </c>
      <c r="I318" t="s">
        <v>29</v>
      </c>
      <c r="J318" t="str">
        <f t="shared" ref="J318:J325" si="75">"2102"</f>
        <v>2102</v>
      </c>
      <c r="K318" t="str">
        <f t="shared" si="72"/>
        <v>07</v>
      </c>
      <c r="L318" s="3">
        <v>155</v>
      </c>
      <c r="M318" s="5">
        <v>0</v>
      </c>
      <c r="N318" s="7">
        <v>155</v>
      </c>
      <c r="O318" s="3">
        <v>0</v>
      </c>
      <c r="P318" s="7">
        <v>0</v>
      </c>
      <c r="Q318" s="7">
        <v>0</v>
      </c>
      <c r="R318" s="7">
        <v>0</v>
      </c>
      <c r="S318" s="7">
        <v>0</v>
      </c>
      <c r="T318" s="7">
        <v>155</v>
      </c>
      <c r="U318" s="3">
        <v>0</v>
      </c>
      <c r="V318" s="7">
        <v>0</v>
      </c>
      <c r="W318" s="7">
        <v>0</v>
      </c>
      <c r="X318" s="3">
        <v>0</v>
      </c>
      <c r="Y318" s="7">
        <v>0</v>
      </c>
    </row>
    <row r="319" spans="1:25" x14ac:dyDescent="0.25">
      <c r="A319" t="s">
        <v>25</v>
      </c>
      <c r="B319" t="s">
        <v>26</v>
      </c>
      <c r="C319" t="str">
        <f t="shared" si="73"/>
        <v>10000</v>
      </c>
      <c r="D319" t="s">
        <v>27</v>
      </c>
      <c r="E319" t="str">
        <f>"0000049"</f>
        <v>0000049</v>
      </c>
      <c r="F319" t="str">
        <f t="shared" si="74"/>
        <v>210203</v>
      </c>
      <c r="G319" t="str">
        <f t="shared" ref="G319:G325" si="76">"90000034"</f>
        <v>90000034</v>
      </c>
      <c r="H319" t="str">
        <f t="shared" si="71"/>
        <v>01</v>
      </c>
      <c r="I319" t="s">
        <v>29</v>
      </c>
      <c r="J319" t="str">
        <f t="shared" si="75"/>
        <v>2102</v>
      </c>
      <c r="K319" t="str">
        <f t="shared" si="72"/>
        <v>07</v>
      </c>
      <c r="L319" s="3">
        <v>108.33</v>
      </c>
      <c r="M319" s="5">
        <v>0</v>
      </c>
      <c r="N319" s="7">
        <v>108.33</v>
      </c>
      <c r="O319" s="3">
        <v>0</v>
      </c>
      <c r="P319" s="7">
        <v>0</v>
      </c>
      <c r="Q319" s="7">
        <v>0</v>
      </c>
      <c r="R319" s="7">
        <v>0</v>
      </c>
      <c r="S319" s="7">
        <v>0</v>
      </c>
      <c r="T319" s="7">
        <v>108.33</v>
      </c>
      <c r="U319" s="3">
        <v>0</v>
      </c>
      <c r="V319" s="7">
        <v>0</v>
      </c>
      <c r="W319" s="7">
        <v>0</v>
      </c>
      <c r="X319" s="3">
        <v>0</v>
      </c>
      <c r="Y319" s="7">
        <v>0</v>
      </c>
    </row>
    <row r="320" spans="1:25" x14ac:dyDescent="0.25">
      <c r="A320" t="s">
        <v>25</v>
      </c>
      <c r="B320" t="s">
        <v>26</v>
      </c>
      <c r="C320" t="str">
        <f t="shared" si="73"/>
        <v>10000</v>
      </c>
      <c r="D320" t="s">
        <v>27</v>
      </c>
      <c r="E320" t="str">
        <f>"0000050"</f>
        <v>0000050</v>
      </c>
      <c r="F320" t="str">
        <f t="shared" si="74"/>
        <v>210203</v>
      </c>
      <c r="G320" t="str">
        <f t="shared" si="76"/>
        <v>90000034</v>
      </c>
      <c r="H320" t="str">
        <f t="shared" si="71"/>
        <v>01</v>
      </c>
      <c r="I320" t="s">
        <v>29</v>
      </c>
      <c r="J320" t="str">
        <f t="shared" si="75"/>
        <v>2102</v>
      </c>
      <c r="K320" t="str">
        <f t="shared" si="72"/>
        <v>07</v>
      </c>
      <c r="L320" s="3">
        <v>1608.33</v>
      </c>
      <c r="M320" s="5">
        <v>0</v>
      </c>
      <c r="N320" s="7">
        <v>1608.33</v>
      </c>
      <c r="O320" s="3">
        <v>0</v>
      </c>
      <c r="P320" s="7">
        <v>0</v>
      </c>
      <c r="Q320" s="7">
        <v>0</v>
      </c>
      <c r="R320" s="7">
        <v>0</v>
      </c>
      <c r="S320" s="7">
        <v>0</v>
      </c>
      <c r="T320" s="7">
        <v>1608.33</v>
      </c>
      <c r="U320" s="3">
        <v>0</v>
      </c>
      <c r="V320" s="7">
        <v>0</v>
      </c>
      <c r="W320" s="7">
        <v>0</v>
      </c>
      <c r="X320" s="3">
        <v>0</v>
      </c>
      <c r="Y320" s="7">
        <v>0</v>
      </c>
    </row>
    <row r="321" spans="1:25" x14ac:dyDescent="0.25">
      <c r="A321" t="s">
        <v>25</v>
      </c>
      <c r="B321" t="s">
        <v>26</v>
      </c>
      <c r="C321" t="str">
        <f t="shared" si="73"/>
        <v>10000</v>
      </c>
      <c r="D321" t="s">
        <v>27</v>
      </c>
      <c r="E321" t="str">
        <f>"0000053"</f>
        <v>0000053</v>
      </c>
      <c r="F321" t="str">
        <f t="shared" si="74"/>
        <v>210203</v>
      </c>
      <c r="G321" t="str">
        <f t="shared" si="76"/>
        <v>90000034</v>
      </c>
      <c r="H321" t="str">
        <f t="shared" si="71"/>
        <v>01</v>
      </c>
      <c r="I321" t="s">
        <v>29</v>
      </c>
      <c r="J321" t="str">
        <f t="shared" si="75"/>
        <v>2102</v>
      </c>
      <c r="K321" t="str">
        <f t="shared" si="72"/>
        <v>07</v>
      </c>
      <c r="L321" s="3">
        <v>441.67</v>
      </c>
      <c r="M321" s="5">
        <v>0</v>
      </c>
      <c r="N321" s="7">
        <v>441.67</v>
      </c>
      <c r="O321" s="3">
        <v>0</v>
      </c>
      <c r="P321" s="7">
        <v>0</v>
      </c>
      <c r="Q321" s="7">
        <v>0</v>
      </c>
      <c r="R321" s="7">
        <v>0</v>
      </c>
      <c r="S321" s="7">
        <v>0</v>
      </c>
      <c r="T321" s="7">
        <v>441.67</v>
      </c>
      <c r="U321" s="3">
        <v>0</v>
      </c>
      <c r="V321" s="7">
        <v>0</v>
      </c>
      <c r="W321" s="7">
        <v>0</v>
      </c>
      <c r="X321" s="3">
        <v>0</v>
      </c>
      <c r="Y321" s="7">
        <v>0</v>
      </c>
    </row>
    <row r="322" spans="1:25" x14ac:dyDescent="0.25">
      <c r="A322" t="s">
        <v>25</v>
      </c>
      <c r="B322" t="s">
        <v>26</v>
      </c>
      <c r="C322" t="str">
        <f t="shared" si="73"/>
        <v>10000</v>
      </c>
      <c r="D322" t="s">
        <v>27</v>
      </c>
      <c r="E322" t="str">
        <f>"0000054"</f>
        <v>0000054</v>
      </c>
      <c r="F322" t="str">
        <f t="shared" si="74"/>
        <v>210203</v>
      </c>
      <c r="G322" t="str">
        <f t="shared" si="76"/>
        <v>90000034</v>
      </c>
      <c r="H322" t="str">
        <f t="shared" si="71"/>
        <v>01</v>
      </c>
      <c r="I322" t="s">
        <v>29</v>
      </c>
      <c r="J322" t="str">
        <f t="shared" si="75"/>
        <v>2102</v>
      </c>
      <c r="K322" t="str">
        <f t="shared" si="72"/>
        <v>07</v>
      </c>
      <c r="L322" s="3">
        <v>550</v>
      </c>
      <c r="M322" s="5">
        <v>0</v>
      </c>
      <c r="N322" s="7">
        <v>550</v>
      </c>
      <c r="O322" s="3">
        <v>0</v>
      </c>
      <c r="P322" s="7">
        <v>0</v>
      </c>
      <c r="Q322" s="7">
        <v>0</v>
      </c>
      <c r="R322" s="7">
        <v>0</v>
      </c>
      <c r="S322" s="7">
        <v>0</v>
      </c>
      <c r="T322" s="7">
        <v>550</v>
      </c>
      <c r="U322" s="3">
        <v>0</v>
      </c>
      <c r="V322" s="7">
        <v>0</v>
      </c>
      <c r="W322" s="7">
        <v>0</v>
      </c>
      <c r="X322" s="3">
        <v>0</v>
      </c>
      <c r="Y322" s="7">
        <v>0</v>
      </c>
    </row>
    <row r="323" spans="1:25" x14ac:dyDescent="0.25">
      <c r="A323" t="s">
        <v>25</v>
      </c>
      <c r="B323" t="s">
        <v>26</v>
      </c>
      <c r="C323" t="str">
        <f t="shared" si="73"/>
        <v>10000</v>
      </c>
      <c r="D323" t="s">
        <v>27</v>
      </c>
      <c r="E323" t="str">
        <f>"0000056"</f>
        <v>0000056</v>
      </c>
      <c r="F323" t="str">
        <f t="shared" si="74"/>
        <v>210203</v>
      </c>
      <c r="G323" t="str">
        <f t="shared" si="76"/>
        <v>90000034</v>
      </c>
      <c r="H323" t="str">
        <f t="shared" si="71"/>
        <v>01</v>
      </c>
      <c r="I323" t="s">
        <v>29</v>
      </c>
      <c r="J323" t="str">
        <f t="shared" si="75"/>
        <v>2102</v>
      </c>
      <c r="K323" t="str">
        <f t="shared" si="72"/>
        <v>07</v>
      </c>
      <c r="L323" s="3">
        <v>275</v>
      </c>
      <c r="M323" s="5">
        <v>0</v>
      </c>
      <c r="N323" s="7">
        <v>275</v>
      </c>
      <c r="O323" s="3">
        <v>0</v>
      </c>
      <c r="P323" s="7">
        <v>0</v>
      </c>
      <c r="Q323" s="7">
        <v>0</v>
      </c>
      <c r="R323" s="7">
        <v>0</v>
      </c>
      <c r="S323" s="7">
        <v>0</v>
      </c>
      <c r="T323" s="7">
        <v>275</v>
      </c>
      <c r="U323" s="3">
        <v>0</v>
      </c>
      <c r="V323" s="7">
        <v>0</v>
      </c>
      <c r="W323" s="7">
        <v>0</v>
      </c>
      <c r="X323" s="3">
        <v>0</v>
      </c>
      <c r="Y323" s="7">
        <v>0</v>
      </c>
    </row>
    <row r="324" spans="1:25" x14ac:dyDescent="0.25">
      <c r="A324" t="s">
        <v>25</v>
      </c>
      <c r="B324" t="s">
        <v>26</v>
      </c>
      <c r="C324" t="str">
        <f t="shared" si="73"/>
        <v>10000</v>
      </c>
      <c r="D324" t="s">
        <v>27</v>
      </c>
      <c r="E324" t="str">
        <f>"0000057"</f>
        <v>0000057</v>
      </c>
      <c r="F324" t="str">
        <f t="shared" si="74"/>
        <v>210203</v>
      </c>
      <c r="G324" t="str">
        <f t="shared" si="76"/>
        <v>90000034</v>
      </c>
      <c r="H324" t="str">
        <f t="shared" si="71"/>
        <v>01</v>
      </c>
      <c r="I324" t="s">
        <v>29</v>
      </c>
      <c r="J324" t="str">
        <f t="shared" si="75"/>
        <v>2102</v>
      </c>
      <c r="K324" t="str">
        <f t="shared" si="72"/>
        <v>07</v>
      </c>
      <c r="L324" s="3">
        <v>4216.67</v>
      </c>
      <c r="M324" s="5">
        <v>0</v>
      </c>
      <c r="N324" s="7">
        <v>4216.67</v>
      </c>
      <c r="O324" s="3">
        <v>0</v>
      </c>
      <c r="P324" s="7">
        <v>0</v>
      </c>
      <c r="Q324" s="7">
        <v>0</v>
      </c>
      <c r="R324" s="7">
        <v>0</v>
      </c>
      <c r="S324" s="7">
        <v>0</v>
      </c>
      <c r="T324" s="7">
        <v>4216.67</v>
      </c>
      <c r="U324" s="3">
        <v>0</v>
      </c>
      <c r="V324" s="7">
        <v>0</v>
      </c>
      <c r="W324" s="7">
        <v>0</v>
      </c>
      <c r="X324" s="3">
        <v>0</v>
      </c>
      <c r="Y324" s="7">
        <v>0</v>
      </c>
    </row>
    <row r="325" spans="1:25" x14ac:dyDescent="0.25">
      <c r="A325" t="s">
        <v>25</v>
      </c>
      <c r="B325" t="s">
        <v>26</v>
      </c>
      <c r="C325" t="str">
        <f t="shared" si="73"/>
        <v>10000</v>
      </c>
      <c r="D325" t="s">
        <v>27</v>
      </c>
      <c r="E325" t="str">
        <f>"0000063"</f>
        <v>0000063</v>
      </c>
      <c r="F325" t="str">
        <f t="shared" si="74"/>
        <v>210203</v>
      </c>
      <c r="G325" t="str">
        <f t="shared" si="76"/>
        <v>90000034</v>
      </c>
      <c r="H325" t="str">
        <f t="shared" si="71"/>
        <v>01</v>
      </c>
      <c r="I325" t="s">
        <v>29</v>
      </c>
      <c r="J325" t="str">
        <f t="shared" si="75"/>
        <v>2102</v>
      </c>
      <c r="K325" t="str">
        <f t="shared" si="72"/>
        <v>07</v>
      </c>
      <c r="L325" s="3">
        <v>0.01</v>
      </c>
      <c r="M325" s="5">
        <v>0</v>
      </c>
      <c r="N325" s="7">
        <v>0.01</v>
      </c>
      <c r="O325" s="3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0.01</v>
      </c>
      <c r="U325" s="3">
        <v>0</v>
      </c>
      <c r="V325" s="7">
        <v>0</v>
      </c>
      <c r="W325" s="7">
        <v>0</v>
      </c>
      <c r="X325" s="3">
        <v>0</v>
      </c>
      <c r="Y325" s="7">
        <v>0</v>
      </c>
    </row>
    <row r="326" spans="1:25" x14ac:dyDescent="0.25">
      <c r="A326" t="s">
        <v>25</v>
      </c>
      <c r="B326" t="s">
        <v>26</v>
      </c>
      <c r="C326" t="str">
        <f t="shared" ref="C326:D339" si="77">"1"</f>
        <v>1</v>
      </c>
      <c r="D326" t="str">
        <f t="shared" si="77"/>
        <v>1</v>
      </c>
      <c r="E326" t="str">
        <f>"0003001"</f>
        <v>0003001</v>
      </c>
      <c r="F326" t="s">
        <v>91</v>
      </c>
      <c r="G326" t="str">
        <f>"4"</f>
        <v>4</v>
      </c>
      <c r="H326" t="str">
        <f t="shared" si="71"/>
        <v>01</v>
      </c>
      <c r="I326" t="s">
        <v>77</v>
      </c>
      <c r="J326" t="str">
        <f t="shared" ref="J326:J332" si="78">"2117"</f>
        <v>2117</v>
      </c>
      <c r="K326" t="str">
        <f t="shared" si="72"/>
        <v>07</v>
      </c>
      <c r="L326" s="3">
        <v>817.57</v>
      </c>
      <c r="M326" s="5">
        <v>658</v>
      </c>
      <c r="N326" s="7">
        <v>658</v>
      </c>
      <c r="O326" s="3">
        <v>0</v>
      </c>
      <c r="P326" s="7">
        <v>0</v>
      </c>
      <c r="Q326" s="7">
        <v>0</v>
      </c>
      <c r="R326" s="7">
        <v>0</v>
      </c>
      <c r="S326" s="7">
        <v>0</v>
      </c>
      <c r="T326" s="7">
        <v>658</v>
      </c>
      <c r="U326" s="3">
        <v>0</v>
      </c>
      <c r="V326" s="7">
        <v>0</v>
      </c>
      <c r="W326" s="7">
        <v>0</v>
      </c>
      <c r="X326" s="3">
        <v>0</v>
      </c>
      <c r="Y326" s="7">
        <v>0</v>
      </c>
    </row>
    <row r="327" spans="1:25" x14ac:dyDescent="0.25">
      <c r="A327" t="s">
        <v>25</v>
      </c>
      <c r="B327" t="s">
        <v>26</v>
      </c>
      <c r="C327" t="str">
        <f t="shared" si="77"/>
        <v>1</v>
      </c>
      <c r="D327" t="str">
        <f t="shared" si="77"/>
        <v>1</v>
      </c>
      <c r="E327" t="str">
        <f>"0003001"</f>
        <v>0003001</v>
      </c>
      <c r="F327" t="s">
        <v>91</v>
      </c>
      <c r="G327" t="str">
        <f>"4"</f>
        <v>4</v>
      </c>
      <c r="H327" t="str">
        <f t="shared" si="71"/>
        <v>01</v>
      </c>
      <c r="I327" t="s">
        <v>34</v>
      </c>
      <c r="J327" t="str">
        <f t="shared" si="78"/>
        <v>2117</v>
      </c>
      <c r="K327" t="str">
        <f t="shared" si="72"/>
        <v>07</v>
      </c>
      <c r="L327" s="3">
        <v>2609.25</v>
      </c>
      <c r="M327" s="5">
        <v>2000</v>
      </c>
      <c r="N327" s="7">
        <v>2000</v>
      </c>
      <c r="O327" s="3">
        <v>0</v>
      </c>
      <c r="P327" s="7">
        <v>0</v>
      </c>
      <c r="Q327" s="7">
        <v>0</v>
      </c>
      <c r="R327" s="7">
        <v>0</v>
      </c>
      <c r="S327" s="7">
        <v>0</v>
      </c>
      <c r="T327" s="7">
        <v>2000</v>
      </c>
      <c r="U327" s="3">
        <v>0</v>
      </c>
      <c r="V327" s="7">
        <v>0</v>
      </c>
      <c r="W327" s="7">
        <v>0</v>
      </c>
      <c r="X327" s="3">
        <v>0</v>
      </c>
      <c r="Y327" s="7">
        <v>0</v>
      </c>
    </row>
    <row r="328" spans="1:25" x14ac:dyDescent="0.25">
      <c r="A328" t="s">
        <v>25</v>
      </c>
      <c r="B328" t="s">
        <v>26</v>
      </c>
      <c r="C328" t="str">
        <f t="shared" si="77"/>
        <v>1</v>
      </c>
      <c r="D328" t="str">
        <f t="shared" si="77"/>
        <v>1</v>
      </c>
      <c r="E328" t="str">
        <f>"0003001"</f>
        <v>0003001</v>
      </c>
      <c r="F328" t="s">
        <v>91</v>
      </c>
      <c r="G328" t="str">
        <f>"4"</f>
        <v>4</v>
      </c>
      <c r="H328" t="str">
        <f t="shared" si="71"/>
        <v>01</v>
      </c>
      <c r="I328" t="s">
        <v>89</v>
      </c>
      <c r="J328" t="str">
        <f t="shared" si="78"/>
        <v>2117</v>
      </c>
      <c r="K328" t="str">
        <f t="shared" si="72"/>
        <v>07</v>
      </c>
      <c r="L328" s="3">
        <v>403.81</v>
      </c>
      <c r="M328" s="5">
        <v>325</v>
      </c>
      <c r="N328" s="7">
        <v>325</v>
      </c>
      <c r="O328" s="3">
        <v>0</v>
      </c>
      <c r="P328" s="7">
        <v>0</v>
      </c>
      <c r="Q328" s="7">
        <v>0</v>
      </c>
      <c r="R328" s="7">
        <v>0</v>
      </c>
      <c r="S328" s="7">
        <v>0</v>
      </c>
      <c r="T328" s="7">
        <v>325</v>
      </c>
      <c r="U328" s="3">
        <v>0</v>
      </c>
      <c r="V328" s="7">
        <v>0</v>
      </c>
      <c r="W328" s="7">
        <v>0</v>
      </c>
      <c r="X328" s="3">
        <v>0</v>
      </c>
      <c r="Y328" s="7">
        <v>0</v>
      </c>
    </row>
    <row r="329" spans="1:25" x14ac:dyDescent="0.25">
      <c r="A329" t="s">
        <v>25</v>
      </c>
      <c r="B329" t="s">
        <v>26</v>
      </c>
      <c r="C329" t="str">
        <f t="shared" si="77"/>
        <v>1</v>
      </c>
      <c r="D329" t="str">
        <f t="shared" si="77"/>
        <v>1</v>
      </c>
      <c r="E329" t="str">
        <f>"0004001"</f>
        <v>0004001</v>
      </c>
      <c r="F329" t="s">
        <v>91</v>
      </c>
      <c r="G329" t="str">
        <f>"13"</f>
        <v>13</v>
      </c>
      <c r="H329" t="str">
        <f>"55"</f>
        <v>55</v>
      </c>
      <c r="I329" t="s">
        <v>77</v>
      </c>
      <c r="J329" t="str">
        <f t="shared" si="78"/>
        <v>2117</v>
      </c>
      <c r="K329" t="str">
        <f t="shared" si="72"/>
        <v>07</v>
      </c>
      <c r="L329" s="3">
        <v>372.75</v>
      </c>
      <c r="M329" s="5">
        <v>300</v>
      </c>
      <c r="N329" s="7">
        <v>300</v>
      </c>
      <c r="O329" s="3">
        <v>0</v>
      </c>
      <c r="P329" s="7">
        <v>0</v>
      </c>
      <c r="Q329" s="7">
        <v>0</v>
      </c>
      <c r="R329" s="7">
        <v>0</v>
      </c>
      <c r="S329" s="7">
        <v>0</v>
      </c>
      <c r="T329" s="7">
        <v>300</v>
      </c>
      <c r="U329" s="3">
        <v>0</v>
      </c>
      <c r="V329" s="7">
        <v>0</v>
      </c>
      <c r="W329" s="7">
        <v>0</v>
      </c>
      <c r="X329" s="3">
        <v>0</v>
      </c>
      <c r="Y329" s="7">
        <v>0</v>
      </c>
    </row>
    <row r="330" spans="1:25" x14ac:dyDescent="0.25">
      <c r="A330" t="s">
        <v>25</v>
      </c>
      <c r="B330" t="s">
        <v>26</v>
      </c>
      <c r="C330" t="str">
        <f t="shared" si="77"/>
        <v>1</v>
      </c>
      <c r="D330" t="str">
        <f t="shared" si="77"/>
        <v>1</v>
      </c>
      <c r="E330" t="str">
        <f>"0004001"</f>
        <v>0004001</v>
      </c>
      <c r="F330" t="s">
        <v>91</v>
      </c>
      <c r="G330" t="str">
        <f>"13"</f>
        <v>13</v>
      </c>
      <c r="H330" t="str">
        <f>"55"</f>
        <v>55</v>
      </c>
      <c r="I330" t="s">
        <v>67</v>
      </c>
      <c r="J330" t="str">
        <f t="shared" si="78"/>
        <v>2117</v>
      </c>
      <c r="K330" t="str">
        <f t="shared" si="72"/>
        <v>07</v>
      </c>
      <c r="L330" s="3">
        <v>100.27</v>
      </c>
      <c r="M330" s="5">
        <v>80.7</v>
      </c>
      <c r="N330" s="7">
        <v>80.7</v>
      </c>
      <c r="O330" s="3">
        <v>0</v>
      </c>
      <c r="P330" s="7">
        <v>0</v>
      </c>
      <c r="Q330" s="7">
        <v>0</v>
      </c>
      <c r="R330" s="7">
        <v>0</v>
      </c>
      <c r="S330" s="7">
        <v>0</v>
      </c>
      <c r="T330" s="7">
        <v>80.7</v>
      </c>
      <c r="U330" s="3">
        <v>0</v>
      </c>
      <c r="V330" s="7">
        <v>0</v>
      </c>
      <c r="W330" s="7">
        <v>0</v>
      </c>
      <c r="X330" s="3">
        <v>0</v>
      </c>
      <c r="Y330" s="7">
        <v>0</v>
      </c>
    </row>
    <row r="331" spans="1:25" x14ac:dyDescent="0.25">
      <c r="A331" t="s">
        <v>25</v>
      </c>
      <c r="B331" t="s">
        <v>26</v>
      </c>
      <c r="C331" t="str">
        <f t="shared" si="77"/>
        <v>1</v>
      </c>
      <c r="D331" t="str">
        <f t="shared" si="77"/>
        <v>1</v>
      </c>
      <c r="E331" t="str">
        <f>"0201704"</f>
        <v>0201704</v>
      </c>
      <c r="F331" t="s">
        <v>92</v>
      </c>
      <c r="G331" t="str">
        <f>"13"</f>
        <v>13</v>
      </c>
      <c r="H331" t="str">
        <f t="shared" ref="H331:H377" si="79">"01"</f>
        <v>01</v>
      </c>
      <c r="I331" t="s">
        <v>34</v>
      </c>
      <c r="J331" t="str">
        <f t="shared" si="78"/>
        <v>2117</v>
      </c>
      <c r="K331" t="str">
        <f t="shared" si="72"/>
        <v>07</v>
      </c>
      <c r="L331" s="3">
        <v>826.88</v>
      </c>
      <c r="M331" s="5">
        <v>600</v>
      </c>
      <c r="N331" s="7">
        <v>600</v>
      </c>
      <c r="O331" s="3">
        <v>0</v>
      </c>
      <c r="P331" s="7">
        <v>0</v>
      </c>
      <c r="Q331" s="7">
        <v>0</v>
      </c>
      <c r="R331" s="7">
        <v>0</v>
      </c>
      <c r="S331" s="7">
        <v>0</v>
      </c>
      <c r="T331" s="7">
        <v>600</v>
      </c>
      <c r="U331" s="3">
        <v>0</v>
      </c>
      <c r="V331" s="7">
        <v>0</v>
      </c>
      <c r="W331" s="7">
        <v>0</v>
      </c>
      <c r="X331" s="3">
        <v>0</v>
      </c>
      <c r="Y331" s="7">
        <v>0</v>
      </c>
    </row>
    <row r="332" spans="1:25" x14ac:dyDescent="0.25">
      <c r="A332" t="s">
        <v>25</v>
      </c>
      <c r="B332" t="s">
        <v>26</v>
      </c>
      <c r="C332" t="str">
        <f t="shared" si="77"/>
        <v>1</v>
      </c>
      <c r="D332" t="str">
        <f t="shared" si="77"/>
        <v>1</v>
      </c>
      <c r="E332" t="str">
        <f>"0201704"</f>
        <v>0201704</v>
      </c>
      <c r="F332" t="s">
        <v>92</v>
      </c>
      <c r="G332" t="str">
        <f>"13"</f>
        <v>13</v>
      </c>
      <c r="H332" t="str">
        <f t="shared" si="79"/>
        <v>01</v>
      </c>
      <c r="I332" t="s">
        <v>77</v>
      </c>
      <c r="J332" t="str">
        <f t="shared" si="78"/>
        <v>2117</v>
      </c>
      <c r="K332" t="str">
        <f t="shared" si="72"/>
        <v>07</v>
      </c>
      <c r="L332" s="3">
        <v>2625</v>
      </c>
      <c r="M332" s="5">
        <v>2000</v>
      </c>
      <c r="N332" s="7">
        <v>2000</v>
      </c>
      <c r="O332" s="3">
        <v>0</v>
      </c>
      <c r="P332" s="7">
        <v>0</v>
      </c>
      <c r="Q332" s="7">
        <v>0</v>
      </c>
      <c r="R332" s="7">
        <v>0</v>
      </c>
      <c r="S332" s="7">
        <v>0</v>
      </c>
      <c r="T332" s="7">
        <v>2000</v>
      </c>
      <c r="U332" s="3">
        <v>0</v>
      </c>
      <c r="V332" s="7">
        <v>0</v>
      </c>
      <c r="W332" s="7">
        <v>0</v>
      </c>
      <c r="X332" s="3">
        <v>0</v>
      </c>
      <c r="Y332" s="7">
        <v>0</v>
      </c>
    </row>
    <row r="333" spans="1:25" x14ac:dyDescent="0.25">
      <c r="A333" t="s">
        <v>25</v>
      </c>
      <c r="B333" t="s">
        <v>26</v>
      </c>
      <c r="C333" t="str">
        <f t="shared" si="77"/>
        <v>1</v>
      </c>
      <c r="D333" t="str">
        <f t="shared" si="77"/>
        <v>1</v>
      </c>
      <c r="E333" t="str">
        <f>"0007177"</f>
        <v>0007177</v>
      </c>
      <c r="F333" t="str">
        <f t="shared" ref="F333:F339" si="80">"2311"</f>
        <v>2311</v>
      </c>
      <c r="G333" t="str">
        <f t="shared" ref="G333:G339" si="81">"90000033"</f>
        <v>90000033</v>
      </c>
      <c r="H333" t="str">
        <f t="shared" si="79"/>
        <v>01</v>
      </c>
      <c r="I333" t="s">
        <v>93</v>
      </c>
      <c r="J333" t="str">
        <f t="shared" ref="J333:J339" si="82">"2201"</f>
        <v>2201</v>
      </c>
      <c r="K333" t="str">
        <f t="shared" ref="K333:K339" si="83">"06"</f>
        <v>06</v>
      </c>
      <c r="L333" s="3">
        <v>780</v>
      </c>
      <c r="M333" s="5">
        <v>780</v>
      </c>
      <c r="N333" s="7">
        <v>780</v>
      </c>
      <c r="O333" s="3">
        <v>0</v>
      </c>
      <c r="P333" s="7">
        <v>0</v>
      </c>
      <c r="Q333" s="7">
        <v>0</v>
      </c>
      <c r="R333" s="7">
        <v>0</v>
      </c>
      <c r="S333" s="7">
        <v>0</v>
      </c>
      <c r="T333" s="7">
        <v>780</v>
      </c>
      <c r="U333" s="3">
        <v>0</v>
      </c>
      <c r="V333" s="7">
        <v>0</v>
      </c>
      <c r="W333" s="7">
        <v>0</v>
      </c>
      <c r="X333" s="3">
        <v>0</v>
      </c>
      <c r="Y333" s="7">
        <v>0</v>
      </c>
    </row>
    <row r="334" spans="1:25" x14ac:dyDescent="0.25">
      <c r="A334" t="s">
        <v>25</v>
      </c>
      <c r="B334" t="s">
        <v>26</v>
      </c>
      <c r="C334" t="str">
        <f t="shared" si="77"/>
        <v>1</v>
      </c>
      <c r="D334" t="str">
        <f t="shared" si="77"/>
        <v>1</v>
      </c>
      <c r="E334" t="str">
        <f>"0007177"</f>
        <v>0007177</v>
      </c>
      <c r="F334" t="str">
        <f t="shared" si="80"/>
        <v>2311</v>
      </c>
      <c r="G334" t="str">
        <f t="shared" si="81"/>
        <v>90000033</v>
      </c>
      <c r="H334" t="str">
        <f t="shared" si="79"/>
        <v>01</v>
      </c>
      <c r="I334" t="s">
        <v>93</v>
      </c>
      <c r="J334" t="str">
        <f t="shared" si="82"/>
        <v>2201</v>
      </c>
      <c r="K334" t="str">
        <f t="shared" si="83"/>
        <v>06</v>
      </c>
      <c r="L334" s="3">
        <v>4680</v>
      </c>
      <c r="M334" s="5">
        <v>4680</v>
      </c>
      <c r="N334" s="7">
        <v>4680</v>
      </c>
      <c r="O334" s="3">
        <v>0</v>
      </c>
      <c r="P334" s="7">
        <v>0</v>
      </c>
      <c r="Q334" s="7">
        <v>0</v>
      </c>
      <c r="R334" s="7">
        <v>0</v>
      </c>
      <c r="S334" s="7">
        <v>0</v>
      </c>
      <c r="T334" s="7">
        <v>4680</v>
      </c>
      <c r="U334" s="3">
        <v>0</v>
      </c>
      <c r="V334" s="7">
        <v>0</v>
      </c>
      <c r="W334" s="7">
        <v>0</v>
      </c>
      <c r="X334" s="3">
        <v>0</v>
      </c>
      <c r="Y334" s="7">
        <v>0</v>
      </c>
    </row>
    <row r="335" spans="1:25" x14ac:dyDescent="0.25">
      <c r="A335" t="s">
        <v>25</v>
      </c>
      <c r="B335" t="s">
        <v>26</v>
      </c>
      <c r="C335" t="str">
        <f t="shared" si="77"/>
        <v>1</v>
      </c>
      <c r="D335" t="str">
        <f t="shared" si="77"/>
        <v>1</v>
      </c>
      <c r="E335" t="str">
        <f>"0007177"</f>
        <v>0007177</v>
      </c>
      <c r="F335" t="str">
        <f t="shared" si="80"/>
        <v>2311</v>
      </c>
      <c r="G335" t="str">
        <f t="shared" si="81"/>
        <v>90000033</v>
      </c>
      <c r="H335" t="str">
        <f t="shared" si="79"/>
        <v>01</v>
      </c>
      <c r="I335" t="s">
        <v>93</v>
      </c>
      <c r="J335" t="str">
        <f t="shared" si="82"/>
        <v>2201</v>
      </c>
      <c r="K335" t="str">
        <f t="shared" si="83"/>
        <v>06</v>
      </c>
      <c r="L335" s="3">
        <v>2520</v>
      </c>
      <c r="M335" s="5">
        <v>2520</v>
      </c>
      <c r="N335" s="7">
        <v>2520</v>
      </c>
      <c r="O335" s="3">
        <v>0</v>
      </c>
      <c r="P335" s="7">
        <v>0</v>
      </c>
      <c r="Q335" s="7">
        <v>0</v>
      </c>
      <c r="R335" s="7">
        <v>0</v>
      </c>
      <c r="S335" s="7">
        <v>0</v>
      </c>
      <c r="T335" s="7">
        <v>2520</v>
      </c>
      <c r="U335" s="3">
        <v>0</v>
      </c>
      <c r="V335" s="7">
        <v>0</v>
      </c>
      <c r="W335" s="7">
        <v>0</v>
      </c>
      <c r="X335" s="3">
        <v>0</v>
      </c>
      <c r="Y335" s="7">
        <v>0</v>
      </c>
    </row>
    <row r="336" spans="1:25" x14ac:dyDescent="0.25">
      <c r="A336" t="s">
        <v>25</v>
      </c>
      <c r="B336" t="s">
        <v>26</v>
      </c>
      <c r="C336" t="str">
        <f t="shared" si="77"/>
        <v>1</v>
      </c>
      <c r="D336" t="str">
        <f t="shared" si="77"/>
        <v>1</v>
      </c>
      <c r="E336" t="str">
        <f>"0008188"</f>
        <v>0008188</v>
      </c>
      <c r="F336" t="str">
        <f t="shared" si="80"/>
        <v>2311</v>
      </c>
      <c r="G336" t="str">
        <f t="shared" si="81"/>
        <v>90000033</v>
      </c>
      <c r="H336" t="str">
        <f t="shared" si="79"/>
        <v>01</v>
      </c>
      <c r="I336" t="s">
        <v>93</v>
      </c>
      <c r="J336" t="str">
        <f t="shared" si="82"/>
        <v>2201</v>
      </c>
      <c r="K336" t="str">
        <f t="shared" si="83"/>
        <v>06</v>
      </c>
      <c r="L336" s="3">
        <v>3120</v>
      </c>
      <c r="M336" s="5">
        <v>3120</v>
      </c>
      <c r="N336" s="7">
        <v>3120</v>
      </c>
      <c r="O336" s="3">
        <v>0</v>
      </c>
      <c r="P336" s="7">
        <v>0</v>
      </c>
      <c r="Q336" s="7">
        <v>0</v>
      </c>
      <c r="R336" s="7">
        <v>0</v>
      </c>
      <c r="S336" s="7">
        <v>0</v>
      </c>
      <c r="T336" s="7">
        <v>3120</v>
      </c>
      <c r="U336" s="3">
        <v>0</v>
      </c>
      <c r="V336" s="7">
        <v>0</v>
      </c>
      <c r="W336" s="7">
        <v>0</v>
      </c>
      <c r="X336" s="3">
        <v>0</v>
      </c>
      <c r="Y336" s="7">
        <v>0</v>
      </c>
    </row>
    <row r="337" spans="1:25" x14ac:dyDescent="0.25">
      <c r="A337" t="s">
        <v>25</v>
      </c>
      <c r="B337" t="s">
        <v>26</v>
      </c>
      <c r="C337" t="str">
        <f t="shared" si="77"/>
        <v>1</v>
      </c>
      <c r="D337" t="str">
        <f t="shared" si="77"/>
        <v>1</v>
      </c>
      <c r="E337" t="str">
        <f>"0008188"</f>
        <v>0008188</v>
      </c>
      <c r="F337" t="str">
        <f t="shared" si="80"/>
        <v>2311</v>
      </c>
      <c r="G337" t="str">
        <f t="shared" si="81"/>
        <v>90000033</v>
      </c>
      <c r="H337" t="str">
        <f t="shared" si="79"/>
        <v>01</v>
      </c>
      <c r="I337" t="s">
        <v>93</v>
      </c>
      <c r="J337" t="str">
        <f t="shared" si="82"/>
        <v>2201</v>
      </c>
      <c r="K337" t="str">
        <f t="shared" si="83"/>
        <v>06</v>
      </c>
      <c r="L337" s="3">
        <v>780</v>
      </c>
      <c r="M337" s="5">
        <v>780</v>
      </c>
      <c r="N337" s="7">
        <v>780</v>
      </c>
      <c r="O337" s="3">
        <v>0</v>
      </c>
      <c r="P337" s="7">
        <v>0</v>
      </c>
      <c r="Q337" s="7">
        <v>0</v>
      </c>
      <c r="R337" s="7">
        <v>0</v>
      </c>
      <c r="S337" s="7">
        <v>0</v>
      </c>
      <c r="T337" s="7">
        <v>780</v>
      </c>
      <c r="U337" s="3">
        <v>0</v>
      </c>
      <c r="V337" s="7">
        <v>0</v>
      </c>
      <c r="W337" s="7">
        <v>0</v>
      </c>
      <c r="X337" s="3">
        <v>0</v>
      </c>
      <c r="Y337" s="7">
        <v>0</v>
      </c>
    </row>
    <row r="338" spans="1:25" x14ac:dyDescent="0.25">
      <c r="A338" t="s">
        <v>25</v>
      </c>
      <c r="B338" t="s">
        <v>26</v>
      </c>
      <c r="C338" t="str">
        <f t="shared" si="77"/>
        <v>1</v>
      </c>
      <c r="D338" t="str">
        <f t="shared" si="77"/>
        <v>1</v>
      </c>
      <c r="E338" t="str">
        <f>"0009199"</f>
        <v>0009199</v>
      </c>
      <c r="F338" t="str">
        <f t="shared" si="80"/>
        <v>2311</v>
      </c>
      <c r="G338" t="str">
        <f t="shared" si="81"/>
        <v>90000033</v>
      </c>
      <c r="H338" t="str">
        <f t="shared" si="79"/>
        <v>01</v>
      </c>
      <c r="I338" t="s">
        <v>93</v>
      </c>
      <c r="J338" t="str">
        <f t="shared" si="82"/>
        <v>2201</v>
      </c>
      <c r="K338" t="str">
        <f t="shared" si="83"/>
        <v>06</v>
      </c>
      <c r="L338" s="3">
        <v>1680</v>
      </c>
      <c r="M338" s="5">
        <v>1680</v>
      </c>
      <c r="N338" s="7">
        <v>1680</v>
      </c>
      <c r="O338" s="3">
        <v>0</v>
      </c>
      <c r="P338" s="7">
        <v>0</v>
      </c>
      <c r="Q338" s="7">
        <v>0</v>
      </c>
      <c r="R338" s="7">
        <v>0</v>
      </c>
      <c r="S338" s="7">
        <v>0</v>
      </c>
      <c r="T338" s="7">
        <v>1680</v>
      </c>
      <c r="U338" s="3">
        <v>0</v>
      </c>
      <c r="V338" s="7">
        <v>0</v>
      </c>
      <c r="W338" s="7">
        <v>0</v>
      </c>
      <c r="X338" s="3">
        <v>0</v>
      </c>
      <c r="Y338" s="7">
        <v>0</v>
      </c>
    </row>
    <row r="339" spans="1:25" x14ac:dyDescent="0.25">
      <c r="A339" t="s">
        <v>25</v>
      </c>
      <c r="B339" t="s">
        <v>26</v>
      </c>
      <c r="C339" t="str">
        <f t="shared" si="77"/>
        <v>1</v>
      </c>
      <c r="D339" t="str">
        <f t="shared" si="77"/>
        <v>1</v>
      </c>
      <c r="E339" t="str">
        <f>"0009199"</f>
        <v>0009199</v>
      </c>
      <c r="F339" t="str">
        <f t="shared" si="80"/>
        <v>2311</v>
      </c>
      <c r="G339" t="str">
        <f t="shared" si="81"/>
        <v>90000033</v>
      </c>
      <c r="H339" t="str">
        <f t="shared" si="79"/>
        <v>01</v>
      </c>
      <c r="I339" t="s">
        <v>93</v>
      </c>
      <c r="J339" t="str">
        <f t="shared" si="82"/>
        <v>2201</v>
      </c>
      <c r="K339" t="str">
        <f t="shared" si="83"/>
        <v>06</v>
      </c>
      <c r="L339" s="3">
        <v>2340</v>
      </c>
      <c r="M339" s="5">
        <v>2340</v>
      </c>
      <c r="N339" s="7">
        <v>2340</v>
      </c>
      <c r="O339" s="3">
        <v>0</v>
      </c>
      <c r="P339" s="7">
        <v>0</v>
      </c>
      <c r="Q339" s="7">
        <v>0</v>
      </c>
      <c r="R339" s="7">
        <v>0</v>
      </c>
      <c r="S339" s="7">
        <v>0</v>
      </c>
      <c r="T339" s="7">
        <v>2340</v>
      </c>
      <c r="U339" s="3">
        <v>0</v>
      </c>
      <c r="V339" s="7">
        <v>0</v>
      </c>
      <c r="W339" s="7">
        <v>0</v>
      </c>
      <c r="X339" s="3">
        <v>0</v>
      </c>
      <c r="Y339" s="7">
        <v>0</v>
      </c>
    </row>
    <row r="340" spans="1:25" x14ac:dyDescent="0.25">
      <c r="A340" t="s">
        <v>25</v>
      </c>
      <c r="B340" t="s">
        <v>26</v>
      </c>
      <c r="C340" t="str">
        <f t="shared" ref="C340:C381" si="84">"1"</f>
        <v>1</v>
      </c>
      <c r="D340" t="s">
        <v>27</v>
      </c>
      <c r="E340" t="str">
        <f>"0108001"</f>
        <v>0108001</v>
      </c>
      <c r="F340" t="str">
        <f t="shared" ref="F340:F351" si="85">"2322"</f>
        <v>2322</v>
      </c>
      <c r="G340" t="str">
        <f t="shared" ref="G340:G351" si="86">"90000032"</f>
        <v>90000032</v>
      </c>
      <c r="H340" t="str">
        <f t="shared" si="79"/>
        <v>01</v>
      </c>
      <c r="I340" t="s">
        <v>93</v>
      </c>
      <c r="J340" t="str">
        <f t="shared" ref="J340:J365" si="87">"2202"</f>
        <v>2202</v>
      </c>
      <c r="K340" t="str">
        <f>"07"</f>
        <v>07</v>
      </c>
      <c r="L340" s="3">
        <v>2.68</v>
      </c>
      <c r="M340" s="5">
        <v>2.68</v>
      </c>
      <c r="N340" s="7">
        <v>2.68</v>
      </c>
      <c r="O340" s="3">
        <v>0</v>
      </c>
      <c r="P340" s="7">
        <v>0</v>
      </c>
      <c r="Q340" s="7">
        <v>0</v>
      </c>
      <c r="R340" s="7">
        <v>0</v>
      </c>
      <c r="S340" s="7">
        <v>0</v>
      </c>
      <c r="T340" s="7">
        <v>2.68</v>
      </c>
      <c r="U340" s="3">
        <v>0</v>
      </c>
      <c r="V340" s="7">
        <v>0</v>
      </c>
      <c r="W340" s="7">
        <v>0</v>
      </c>
      <c r="X340" s="3">
        <v>0</v>
      </c>
      <c r="Y340" s="7">
        <v>0</v>
      </c>
    </row>
    <row r="341" spans="1:25" x14ac:dyDescent="0.25">
      <c r="A341" t="s">
        <v>25</v>
      </c>
      <c r="B341" t="s">
        <v>26</v>
      </c>
      <c r="C341" t="str">
        <f t="shared" si="84"/>
        <v>1</v>
      </c>
      <c r="D341" t="s">
        <v>27</v>
      </c>
      <c r="E341" t="str">
        <f>"0108001"</f>
        <v>0108001</v>
      </c>
      <c r="F341" t="str">
        <f t="shared" si="85"/>
        <v>2322</v>
      </c>
      <c r="G341" t="str">
        <f t="shared" si="86"/>
        <v>90000032</v>
      </c>
      <c r="H341" t="str">
        <f t="shared" si="79"/>
        <v>01</v>
      </c>
      <c r="I341" t="s">
        <v>93</v>
      </c>
      <c r="J341" t="str">
        <f t="shared" si="87"/>
        <v>2202</v>
      </c>
      <c r="K341" t="str">
        <f>"07"</f>
        <v>07</v>
      </c>
      <c r="L341" s="3">
        <v>0.78</v>
      </c>
      <c r="M341" s="5">
        <v>0.78</v>
      </c>
      <c r="N341" s="7">
        <v>0.78</v>
      </c>
      <c r="O341" s="3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0.78</v>
      </c>
      <c r="U341" s="3">
        <v>0</v>
      </c>
      <c r="V341" s="7">
        <v>0</v>
      </c>
      <c r="W341" s="7">
        <v>0</v>
      </c>
      <c r="X341" s="3">
        <v>0</v>
      </c>
      <c r="Y341" s="7">
        <v>0</v>
      </c>
    </row>
    <row r="342" spans="1:25" x14ac:dyDescent="0.25">
      <c r="A342" t="s">
        <v>25</v>
      </c>
      <c r="B342" t="s">
        <v>26</v>
      </c>
      <c r="C342" t="str">
        <f t="shared" si="84"/>
        <v>1</v>
      </c>
      <c r="D342" t="s">
        <v>27</v>
      </c>
      <c r="E342" t="str">
        <f>"0108002"</f>
        <v>0108002</v>
      </c>
      <c r="F342" t="str">
        <f t="shared" si="85"/>
        <v>2322</v>
      </c>
      <c r="G342" t="str">
        <f t="shared" si="86"/>
        <v>90000032</v>
      </c>
      <c r="H342" t="str">
        <f t="shared" si="79"/>
        <v>01</v>
      </c>
      <c r="I342" t="s">
        <v>93</v>
      </c>
      <c r="J342" t="str">
        <f t="shared" si="87"/>
        <v>2202</v>
      </c>
      <c r="K342" t="str">
        <f>"06"</f>
        <v>06</v>
      </c>
      <c r="L342" s="3">
        <v>78</v>
      </c>
      <c r="M342" s="5">
        <v>78</v>
      </c>
      <c r="N342" s="7">
        <v>78</v>
      </c>
      <c r="O342" s="3">
        <v>0</v>
      </c>
      <c r="P342" s="7">
        <v>0</v>
      </c>
      <c r="Q342" s="7">
        <v>0</v>
      </c>
      <c r="R342" s="7">
        <v>0</v>
      </c>
      <c r="S342" s="7">
        <v>0</v>
      </c>
      <c r="T342" s="7">
        <v>78</v>
      </c>
      <c r="U342" s="3">
        <v>0</v>
      </c>
      <c r="V342" s="7">
        <v>0</v>
      </c>
      <c r="W342" s="7">
        <v>0</v>
      </c>
      <c r="X342" s="3">
        <v>0</v>
      </c>
      <c r="Y342" s="7">
        <v>0</v>
      </c>
    </row>
    <row r="343" spans="1:25" x14ac:dyDescent="0.25">
      <c r="A343" t="s">
        <v>25</v>
      </c>
      <c r="B343" t="s">
        <v>26</v>
      </c>
      <c r="C343" t="str">
        <f t="shared" si="84"/>
        <v>1</v>
      </c>
      <c r="D343" t="s">
        <v>27</v>
      </c>
      <c r="E343" t="str">
        <f>"0108003"</f>
        <v>0108003</v>
      </c>
      <c r="F343" t="str">
        <f t="shared" si="85"/>
        <v>2322</v>
      </c>
      <c r="G343" t="str">
        <f t="shared" si="86"/>
        <v>90000032</v>
      </c>
      <c r="H343" t="str">
        <f t="shared" si="79"/>
        <v>01</v>
      </c>
      <c r="I343" t="s">
        <v>93</v>
      </c>
      <c r="J343" t="str">
        <f t="shared" si="87"/>
        <v>2202</v>
      </c>
      <c r="K343" t="str">
        <f>"06"</f>
        <v>06</v>
      </c>
      <c r="L343" s="3">
        <v>78</v>
      </c>
      <c r="M343" s="5">
        <v>78</v>
      </c>
      <c r="N343" s="7">
        <v>78</v>
      </c>
      <c r="O343" s="3">
        <v>0</v>
      </c>
      <c r="P343" s="7">
        <v>0</v>
      </c>
      <c r="Q343" s="7">
        <v>0</v>
      </c>
      <c r="R343" s="7">
        <v>0</v>
      </c>
      <c r="S343" s="7">
        <v>0</v>
      </c>
      <c r="T343" s="7">
        <v>78</v>
      </c>
      <c r="U343" s="3">
        <v>0</v>
      </c>
      <c r="V343" s="7">
        <v>0</v>
      </c>
      <c r="W343" s="7">
        <v>0</v>
      </c>
      <c r="X343" s="3">
        <v>0</v>
      </c>
      <c r="Y343" s="7">
        <v>0</v>
      </c>
    </row>
    <row r="344" spans="1:25" x14ac:dyDescent="0.25">
      <c r="A344" t="s">
        <v>25</v>
      </c>
      <c r="B344" t="s">
        <v>26</v>
      </c>
      <c r="C344" t="str">
        <f t="shared" si="84"/>
        <v>1</v>
      </c>
      <c r="D344" t="s">
        <v>27</v>
      </c>
      <c r="E344" t="str">
        <f>"0108005"</f>
        <v>0108005</v>
      </c>
      <c r="F344" t="str">
        <f t="shared" si="85"/>
        <v>2322</v>
      </c>
      <c r="G344" t="str">
        <f t="shared" si="86"/>
        <v>90000032</v>
      </c>
      <c r="H344" t="str">
        <f t="shared" si="79"/>
        <v>01</v>
      </c>
      <c r="I344" t="s">
        <v>93</v>
      </c>
      <c r="J344" t="str">
        <f t="shared" si="87"/>
        <v>2202</v>
      </c>
      <c r="K344" t="str">
        <f>"06"</f>
        <v>06</v>
      </c>
      <c r="L344" s="3">
        <v>0.78</v>
      </c>
      <c r="M344" s="5">
        <v>0.78</v>
      </c>
      <c r="N344" s="7">
        <v>0.78</v>
      </c>
      <c r="O344" s="3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0.78</v>
      </c>
      <c r="U344" s="3">
        <v>0</v>
      </c>
      <c r="V344" s="7">
        <v>0</v>
      </c>
      <c r="W344" s="7">
        <v>0</v>
      </c>
      <c r="X344" s="3">
        <v>0</v>
      </c>
      <c r="Y344" s="7">
        <v>0</v>
      </c>
    </row>
    <row r="345" spans="1:25" x14ac:dyDescent="0.25">
      <c r="A345" t="s">
        <v>25</v>
      </c>
      <c r="B345" t="s">
        <v>26</v>
      </c>
      <c r="C345" t="str">
        <f t="shared" si="84"/>
        <v>1</v>
      </c>
      <c r="D345" t="s">
        <v>27</v>
      </c>
      <c r="E345" t="str">
        <f>"0108006"</f>
        <v>0108006</v>
      </c>
      <c r="F345" t="str">
        <f t="shared" si="85"/>
        <v>2322</v>
      </c>
      <c r="G345" t="str">
        <f t="shared" si="86"/>
        <v>90000032</v>
      </c>
      <c r="H345" t="str">
        <f t="shared" si="79"/>
        <v>01</v>
      </c>
      <c r="I345" t="s">
        <v>93</v>
      </c>
      <c r="J345" t="str">
        <f t="shared" si="87"/>
        <v>2202</v>
      </c>
      <c r="K345" t="str">
        <f t="shared" ref="K345:K351" si="88">"07"</f>
        <v>07</v>
      </c>
      <c r="L345" s="3">
        <v>0.67</v>
      </c>
      <c r="M345" s="5">
        <v>0.67</v>
      </c>
      <c r="N345" s="7">
        <v>0.67</v>
      </c>
      <c r="O345" s="3">
        <v>0</v>
      </c>
      <c r="P345" s="7">
        <v>0</v>
      </c>
      <c r="Q345" s="7">
        <v>0</v>
      </c>
      <c r="R345" s="7">
        <v>0</v>
      </c>
      <c r="S345" s="7">
        <v>0</v>
      </c>
      <c r="T345" s="7">
        <v>0.67</v>
      </c>
      <c r="U345" s="3">
        <v>0</v>
      </c>
      <c r="V345" s="7">
        <v>0</v>
      </c>
      <c r="W345" s="7">
        <v>0</v>
      </c>
      <c r="X345" s="3">
        <v>0</v>
      </c>
      <c r="Y345" s="7">
        <v>0</v>
      </c>
    </row>
    <row r="346" spans="1:25" x14ac:dyDescent="0.25">
      <c r="A346" t="s">
        <v>25</v>
      </c>
      <c r="B346" t="s">
        <v>26</v>
      </c>
      <c r="C346" t="str">
        <f t="shared" si="84"/>
        <v>1</v>
      </c>
      <c r="D346" t="s">
        <v>27</v>
      </c>
      <c r="E346" t="str">
        <f>"0208001"</f>
        <v>0208001</v>
      </c>
      <c r="F346" t="str">
        <f t="shared" si="85"/>
        <v>2322</v>
      </c>
      <c r="G346" t="str">
        <f t="shared" si="86"/>
        <v>90000032</v>
      </c>
      <c r="H346" t="str">
        <f t="shared" si="79"/>
        <v>01</v>
      </c>
      <c r="I346" t="s">
        <v>93</v>
      </c>
      <c r="J346" t="str">
        <f t="shared" si="87"/>
        <v>2202</v>
      </c>
      <c r="K346" t="str">
        <f t="shared" si="88"/>
        <v>07</v>
      </c>
      <c r="L346" s="3">
        <v>3.35</v>
      </c>
      <c r="M346" s="5">
        <v>3.35</v>
      </c>
      <c r="N346" s="7">
        <v>3.35</v>
      </c>
      <c r="O346" s="3">
        <v>0</v>
      </c>
      <c r="P346" s="7">
        <v>0</v>
      </c>
      <c r="Q346" s="7">
        <v>0</v>
      </c>
      <c r="R346" s="7">
        <v>0</v>
      </c>
      <c r="S346" s="7">
        <v>0</v>
      </c>
      <c r="T346" s="7">
        <v>3.35</v>
      </c>
      <c r="U346" s="3">
        <v>0</v>
      </c>
      <c r="V346" s="7">
        <v>0</v>
      </c>
      <c r="W346" s="7">
        <v>0</v>
      </c>
      <c r="X346" s="3">
        <v>0</v>
      </c>
      <c r="Y346" s="7">
        <v>0</v>
      </c>
    </row>
    <row r="347" spans="1:25" x14ac:dyDescent="0.25">
      <c r="A347" t="s">
        <v>25</v>
      </c>
      <c r="B347" t="s">
        <v>26</v>
      </c>
      <c r="C347" t="str">
        <f t="shared" si="84"/>
        <v>1</v>
      </c>
      <c r="D347" t="s">
        <v>27</v>
      </c>
      <c r="E347" t="str">
        <f>"0208002"</f>
        <v>0208002</v>
      </c>
      <c r="F347" t="str">
        <f t="shared" si="85"/>
        <v>2322</v>
      </c>
      <c r="G347" t="str">
        <f t="shared" si="86"/>
        <v>90000032</v>
      </c>
      <c r="H347" t="str">
        <f t="shared" si="79"/>
        <v>01</v>
      </c>
      <c r="I347" t="s">
        <v>93</v>
      </c>
      <c r="J347" t="str">
        <f t="shared" si="87"/>
        <v>2202</v>
      </c>
      <c r="K347" t="str">
        <f t="shared" si="88"/>
        <v>07</v>
      </c>
      <c r="L347" s="3">
        <v>3.35</v>
      </c>
      <c r="M347" s="5">
        <v>3.35</v>
      </c>
      <c r="N347" s="7">
        <v>3.35</v>
      </c>
      <c r="O347" s="3">
        <v>0</v>
      </c>
      <c r="P347" s="7">
        <v>0</v>
      </c>
      <c r="Q347" s="7">
        <v>0</v>
      </c>
      <c r="R347" s="7">
        <v>0</v>
      </c>
      <c r="S347" s="7">
        <v>0</v>
      </c>
      <c r="T347" s="7">
        <v>3.35</v>
      </c>
      <c r="U347" s="3">
        <v>0</v>
      </c>
      <c r="V347" s="7">
        <v>0</v>
      </c>
      <c r="W347" s="7">
        <v>0</v>
      </c>
      <c r="X347" s="3">
        <v>0</v>
      </c>
      <c r="Y347" s="7">
        <v>0</v>
      </c>
    </row>
    <row r="348" spans="1:25" x14ac:dyDescent="0.25">
      <c r="A348" t="s">
        <v>25</v>
      </c>
      <c r="B348" t="s">
        <v>26</v>
      </c>
      <c r="C348" t="str">
        <f t="shared" si="84"/>
        <v>1</v>
      </c>
      <c r="D348" t="s">
        <v>27</v>
      </c>
      <c r="E348" t="str">
        <f>"0208003"</f>
        <v>0208003</v>
      </c>
      <c r="F348" t="str">
        <f t="shared" si="85"/>
        <v>2322</v>
      </c>
      <c r="G348" t="str">
        <f t="shared" si="86"/>
        <v>90000032</v>
      </c>
      <c r="H348" t="str">
        <f t="shared" si="79"/>
        <v>01</v>
      </c>
      <c r="I348" t="s">
        <v>93</v>
      </c>
      <c r="J348" t="str">
        <f t="shared" si="87"/>
        <v>2202</v>
      </c>
      <c r="K348" t="str">
        <f t="shared" si="88"/>
        <v>07</v>
      </c>
      <c r="L348" s="3">
        <v>3.35</v>
      </c>
      <c r="M348" s="5">
        <v>3.35</v>
      </c>
      <c r="N348" s="7">
        <v>3.35</v>
      </c>
      <c r="O348" s="3">
        <v>0</v>
      </c>
      <c r="P348" s="7">
        <v>0</v>
      </c>
      <c r="Q348" s="7">
        <v>0</v>
      </c>
      <c r="R348" s="7">
        <v>0</v>
      </c>
      <c r="S348" s="7">
        <v>0</v>
      </c>
      <c r="T348" s="7">
        <v>3.35</v>
      </c>
      <c r="U348" s="3">
        <v>0</v>
      </c>
      <c r="V348" s="7">
        <v>0</v>
      </c>
      <c r="W348" s="7">
        <v>0</v>
      </c>
      <c r="X348" s="3">
        <v>0</v>
      </c>
      <c r="Y348" s="7">
        <v>0</v>
      </c>
    </row>
    <row r="349" spans="1:25" x14ac:dyDescent="0.25">
      <c r="A349" t="s">
        <v>25</v>
      </c>
      <c r="B349" t="s">
        <v>26</v>
      </c>
      <c r="C349" t="str">
        <f t="shared" si="84"/>
        <v>1</v>
      </c>
      <c r="D349" t="s">
        <v>27</v>
      </c>
      <c r="E349" t="str">
        <f>"0208004"</f>
        <v>0208004</v>
      </c>
      <c r="F349" t="str">
        <f t="shared" si="85"/>
        <v>2322</v>
      </c>
      <c r="G349" t="str">
        <f t="shared" si="86"/>
        <v>90000032</v>
      </c>
      <c r="H349" t="str">
        <f t="shared" si="79"/>
        <v>01</v>
      </c>
      <c r="I349" t="s">
        <v>93</v>
      </c>
      <c r="J349" t="str">
        <f t="shared" si="87"/>
        <v>2202</v>
      </c>
      <c r="K349" t="str">
        <f t="shared" si="88"/>
        <v>07</v>
      </c>
      <c r="L349" s="3">
        <v>0.67</v>
      </c>
      <c r="M349" s="5">
        <v>0.67</v>
      </c>
      <c r="N349" s="7">
        <v>0.67</v>
      </c>
      <c r="O349" s="3">
        <v>0</v>
      </c>
      <c r="P349" s="7">
        <v>0</v>
      </c>
      <c r="Q349" s="7">
        <v>0</v>
      </c>
      <c r="R349" s="7">
        <v>0</v>
      </c>
      <c r="S349" s="7">
        <v>0</v>
      </c>
      <c r="T349" s="7">
        <v>0.67</v>
      </c>
      <c r="U349" s="3">
        <v>0</v>
      </c>
      <c r="V349" s="7">
        <v>0</v>
      </c>
      <c r="W349" s="7">
        <v>0</v>
      </c>
      <c r="X349" s="3">
        <v>0</v>
      </c>
      <c r="Y349" s="7">
        <v>0</v>
      </c>
    </row>
    <row r="350" spans="1:25" x14ac:dyDescent="0.25">
      <c r="A350" t="s">
        <v>25</v>
      </c>
      <c r="B350" t="s">
        <v>26</v>
      </c>
      <c r="C350" t="str">
        <f t="shared" si="84"/>
        <v>1</v>
      </c>
      <c r="D350" t="s">
        <v>27</v>
      </c>
      <c r="E350" t="str">
        <f>"0208006"</f>
        <v>0208006</v>
      </c>
      <c r="F350" t="str">
        <f t="shared" si="85"/>
        <v>2322</v>
      </c>
      <c r="G350" t="str">
        <f t="shared" si="86"/>
        <v>90000032</v>
      </c>
      <c r="H350" t="str">
        <f t="shared" si="79"/>
        <v>01</v>
      </c>
      <c r="I350" t="s">
        <v>93</v>
      </c>
      <c r="J350" t="str">
        <f t="shared" si="87"/>
        <v>2202</v>
      </c>
      <c r="K350" t="str">
        <f t="shared" si="88"/>
        <v>07</v>
      </c>
      <c r="L350" s="3">
        <v>3.35</v>
      </c>
      <c r="M350" s="5">
        <v>3.35</v>
      </c>
      <c r="N350" s="7">
        <v>3.35</v>
      </c>
      <c r="O350" s="3">
        <v>0</v>
      </c>
      <c r="P350" s="7">
        <v>0</v>
      </c>
      <c r="Q350" s="7">
        <v>0</v>
      </c>
      <c r="R350" s="7">
        <v>0</v>
      </c>
      <c r="S350" s="7">
        <v>0</v>
      </c>
      <c r="T350" s="7">
        <v>3.35</v>
      </c>
      <c r="U350" s="3">
        <v>0</v>
      </c>
      <c r="V350" s="7">
        <v>0</v>
      </c>
      <c r="W350" s="7">
        <v>0</v>
      </c>
      <c r="X350" s="3">
        <v>0</v>
      </c>
      <c r="Y350" s="7">
        <v>0</v>
      </c>
    </row>
    <row r="351" spans="1:25" x14ac:dyDescent="0.25">
      <c r="A351" t="s">
        <v>25</v>
      </c>
      <c r="B351" t="s">
        <v>26</v>
      </c>
      <c r="C351" t="str">
        <f t="shared" si="84"/>
        <v>1</v>
      </c>
      <c r="D351" t="s">
        <v>27</v>
      </c>
      <c r="E351" t="str">
        <f>"0208007"</f>
        <v>0208007</v>
      </c>
      <c r="F351" t="str">
        <f t="shared" si="85"/>
        <v>2322</v>
      </c>
      <c r="G351" t="str">
        <f t="shared" si="86"/>
        <v>90000032</v>
      </c>
      <c r="H351" t="str">
        <f t="shared" si="79"/>
        <v>01</v>
      </c>
      <c r="I351" t="s">
        <v>93</v>
      </c>
      <c r="J351" t="str">
        <f t="shared" si="87"/>
        <v>2202</v>
      </c>
      <c r="K351" t="str">
        <f t="shared" si="88"/>
        <v>07</v>
      </c>
      <c r="L351" s="3">
        <v>3.35</v>
      </c>
      <c r="M351" s="5">
        <v>3.35</v>
      </c>
      <c r="N351" s="7">
        <v>3.35</v>
      </c>
      <c r="O351" s="3">
        <v>0</v>
      </c>
      <c r="P351" s="7">
        <v>0</v>
      </c>
      <c r="Q351" s="7">
        <v>0</v>
      </c>
      <c r="R351" s="7">
        <v>0</v>
      </c>
      <c r="S351" s="7">
        <v>0</v>
      </c>
      <c r="T351" s="7">
        <v>3.35</v>
      </c>
      <c r="U351" s="3">
        <v>0</v>
      </c>
      <c r="V351" s="7">
        <v>0</v>
      </c>
      <c r="W351" s="7">
        <v>0</v>
      </c>
      <c r="X351" s="3">
        <v>0</v>
      </c>
      <c r="Y351" s="7">
        <v>0</v>
      </c>
    </row>
    <row r="352" spans="1:25" x14ac:dyDescent="0.25">
      <c r="A352" t="s">
        <v>25</v>
      </c>
      <c r="B352" t="s">
        <v>26</v>
      </c>
      <c r="C352" t="str">
        <f t="shared" si="84"/>
        <v>1</v>
      </c>
      <c r="D352" t="str">
        <f>"5"</f>
        <v>5</v>
      </c>
      <c r="E352" t="str">
        <f>"0308111"</f>
        <v>0308111</v>
      </c>
      <c r="F352" t="str">
        <f>"220202"</f>
        <v>220202</v>
      </c>
      <c r="G352" t="str">
        <f>"90000033"</f>
        <v>90000033</v>
      </c>
      <c r="H352" t="str">
        <f t="shared" si="79"/>
        <v>01</v>
      </c>
      <c r="I352" t="s">
        <v>28</v>
      </c>
      <c r="J352" t="str">
        <f t="shared" si="87"/>
        <v>2202</v>
      </c>
      <c r="K352" t="str">
        <f>"06"</f>
        <v>06</v>
      </c>
      <c r="L352" s="3">
        <v>4020</v>
      </c>
      <c r="M352" s="5">
        <v>4020</v>
      </c>
      <c r="N352" s="7">
        <v>4020</v>
      </c>
      <c r="O352" s="3">
        <v>0</v>
      </c>
      <c r="P352" s="7">
        <v>0</v>
      </c>
      <c r="Q352" s="7">
        <v>0</v>
      </c>
      <c r="R352" s="7">
        <v>0</v>
      </c>
      <c r="S352" s="7">
        <v>0</v>
      </c>
      <c r="T352" s="7">
        <v>4020</v>
      </c>
      <c r="U352" s="3">
        <v>0</v>
      </c>
      <c r="V352" s="7">
        <v>0</v>
      </c>
      <c r="W352" s="7">
        <v>0</v>
      </c>
      <c r="X352" s="3">
        <v>0</v>
      </c>
      <c r="Y352" s="7">
        <v>0</v>
      </c>
    </row>
    <row r="353" spans="1:25" x14ac:dyDescent="0.25">
      <c r="A353" t="s">
        <v>25</v>
      </c>
      <c r="B353" t="s">
        <v>26</v>
      </c>
      <c r="C353" t="str">
        <f t="shared" si="84"/>
        <v>1</v>
      </c>
      <c r="D353" t="s">
        <v>27</v>
      </c>
      <c r="E353" t="str">
        <f>"0508001"</f>
        <v>0508001</v>
      </c>
      <c r="F353" t="str">
        <f t="shared" ref="F353:F365" si="89">"2322"</f>
        <v>2322</v>
      </c>
      <c r="G353" t="str">
        <f t="shared" ref="G353:G365" si="90">"90000032"</f>
        <v>90000032</v>
      </c>
      <c r="H353" t="str">
        <f t="shared" si="79"/>
        <v>01</v>
      </c>
      <c r="I353" t="s">
        <v>93</v>
      </c>
      <c r="J353" t="str">
        <f t="shared" si="87"/>
        <v>2202</v>
      </c>
      <c r="K353" t="str">
        <f>"06"</f>
        <v>06</v>
      </c>
      <c r="L353" s="3">
        <v>78</v>
      </c>
      <c r="M353" s="5">
        <v>78</v>
      </c>
      <c r="N353" s="7">
        <v>78</v>
      </c>
      <c r="O353" s="3">
        <v>0</v>
      </c>
      <c r="P353" s="7">
        <v>0</v>
      </c>
      <c r="Q353" s="7">
        <v>0</v>
      </c>
      <c r="R353" s="7">
        <v>0</v>
      </c>
      <c r="S353" s="7">
        <v>0</v>
      </c>
      <c r="T353" s="7">
        <v>78</v>
      </c>
      <c r="U353" s="3">
        <v>0</v>
      </c>
      <c r="V353" s="7">
        <v>0</v>
      </c>
      <c r="W353" s="7">
        <v>0</v>
      </c>
      <c r="X353" s="3">
        <v>0</v>
      </c>
      <c r="Y353" s="7">
        <v>0</v>
      </c>
    </row>
    <row r="354" spans="1:25" x14ac:dyDescent="0.25">
      <c r="A354" t="s">
        <v>25</v>
      </c>
      <c r="B354" t="s">
        <v>26</v>
      </c>
      <c r="C354" t="str">
        <f t="shared" si="84"/>
        <v>1</v>
      </c>
      <c r="D354" t="s">
        <v>27</v>
      </c>
      <c r="E354" t="str">
        <f>"0508002"</f>
        <v>0508002</v>
      </c>
      <c r="F354" t="str">
        <f t="shared" si="89"/>
        <v>2322</v>
      </c>
      <c r="G354" t="str">
        <f t="shared" si="90"/>
        <v>90000032</v>
      </c>
      <c r="H354" t="str">
        <f t="shared" si="79"/>
        <v>01</v>
      </c>
      <c r="I354" t="s">
        <v>93</v>
      </c>
      <c r="J354" t="str">
        <f t="shared" si="87"/>
        <v>2202</v>
      </c>
      <c r="K354" t="str">
        <f>"06"</f>
        <v>06</v>
      </c>
      <c r="L354" s="3">
        <v>78</v>
      </c>
      <c r="M354" s="5">
        <v>78</v>
      </c>
      <c r="N354" s="7">
        <v>78</v>
      </c>
      <c r="O354" s="3">
        <v>0</v>
      </c>
      <c r="P354" s="7">
        <v>0</v>
      </c>
      <c r="Q354" s="7">
        <v>0</v>
      </c>
      <c r="R354" s="7">
        <v>0</v>
      </c>
      <c r="S354" s="7">
        <v>0</v>
      </c>
      <c r="T354" s="7">
        <v>78</v>
      </c>
      <c r="U354" s="3">
        <v>0</v>
      </c>
      <c r="V354" s="7">
        <v>0</v>
      </c>
      <c r="W354" s="7">
        <v>0</v>
      </c>
      <c r="X354" s="3">
        <v>0</v>
      </c>
      <c r="Y354" s="7">
        <v>0</v>
      </c>
    </row>
    <row r="355" spans="1:25" x14ac:dyDescent="0.25">
      <c r="A355" t="s">
        <v>25</v>
      </c>
      <c r="B355" t="s">
        <v>26</v>
      </c>
      <c r="C355" t="str">
        <f t="shared" si="84"/>
        <v>1</v>
      </c>
      <c r="D355" t="s">
        <v>27</v>
      </c>
      <c r="E355" t="str">
        <f>"0508003"</f>
        <v>0508003</v>
      </c>
      <c r="F355" t="str">
        <f t="shared" si="89"/>
        <v>2322</v>
      </c>
      <c r="G355" t="str">
        <f t="shared" si="90"/>
        <v>90000032</v>
      </c>
      <c r="H355" t="str">
        <f t="shared" si="79"/>
        <v>01</v>
      </c>
      <c r="I355" t="s">
        <v>93</v>
      </c>
      <c r="J355" t="str">
        <f t="shared" si="87"/>
        <v>2202</v>
      </c>
      <c r="K355" t="str">
        <f>"06"</f>
        <v>06</v>
      </c>
      <c r="L355" s="3">
        <v>31.2</v>
      </c>
      <c r="M355" s="5">
        <v>31.2</v>
      </c>
      <c r="N355" s="7">
        <v>31.2</v>
      </c>
      <c r="O355" s="3">
        <v>0</v>
      </c>
      <c r="P355" s="7">
        <v>0</v>
      </c>
      <c r="Q355" s="7">
        <v>0</v>
      </c>
      <c r="R355" s="7">
        <v>0</v>
      </c>
      <c r="S355" s="7">
        <v>0</v>
      </c>
      <c r="T355" s="7">
        <v>31.2</v>
      </c>
      <c r="U355" s="3">
        <v>0</v>
      </c>
      <c r="V355" s="7">
        <v>0</v>
      </c>
      <c r="W355" s="7">
        <v>0</v>
      </c>
      <c r="X355" s="3">
        <v>0</v>
      </c>
      <c r="Y355" s="7">
        <v>0</v>
      </c>
    </row>
    <row r="356" spans="1:25" x14ac:dyDescent="0.25">
      <c r="A356" t="s">
        <v>25</v>
      </c>
      <c r="B356" t="s">
        <v>26</v>
      </c>
      <c r="C356" t="str">
        <f t="shared" si="84"/>
        <v>1</v>
      </c>
      <c r="D356" t="s">
        <v>27</v>
      </c>
      <c r="E356" t="str">
        <f>"0508003"</f>
        <v>0508003</v>
      </c>
      <c r="F356" t="str">
        <f t="shared" si="89"/>
        <v>2322</v>
      </c>
      <c r="G356" t="str">
        <f t="shared" si="90"/>
        <v>90000032</v>
      </c>
      <c r="H356" t="str">
        <f t="shared" si="79"/>
        <v>01</v>
      </c>
      <c r="I356" t="s">
        <v>93</v>
      </c>
      <c r="J356" t="str">
        <f t="shared" si="87"/>
        <v>2202</v>
      </c>
      <c r="K356" t="str">
        <f>"07"</f>
        <v>07</v>
      </c>
      <c r="L356" s="3">
        <v>40.200000000000003</v>
      </c>
      <c r="M356" s="5">
        <v>40.200000000000003</v>
      </c>
      <c r="N356" s="7">
        <v>40.200000000000003</v>
      </c>
      <c r="O356" s="3">
        <v>0</v>
      </c>
      <c r="P356" s="7">
        <v>0</v>
      </c>
      <c r="Q356" s="7">
        <v>0</v>
      </c>
      <c r="R356" s="7">
        <v>0</v>
      </c>
      <c r="S356" s="7">
        <v>0</v>
      </c>
      <c r="T356" s="7">
        <v>40.200000000000003</v>
      </c>
      <c r="U356" s="3">
        <v>0</v>
      </c>
      <c r="V356" s="7">
        <v>0</v>
      </c>
      <c r="W356" s="7">
        <v>0</v>
      </c>
      <c r="X356" s="3">
        <v>0</v>
      </c>
      <c r="Y356" s="7">
        <v>0</v>
      </c>
    </row>
    <row r="357" spans="1:25" x14ac:dyDescent="0.25">
      <c r="A357" t="s">
        <v>25</v>
      </c>
      <c r="B357" t="s">
        <v>26</v>
      </c>
      <c r="C357" t="str">
        <f t="shared" si="84"/>
        <v>1</v>
      </c>
      <c r="D357" t="s">
        <v>27</v>
      </c>
      <c r="E357" t="str">
        <f>"0508004"</f>
        <v>0508004</v>
      </c>
      <c r="F357" t="str">
        <f t="shared" si="89"/>
        <v>2322</v>
      </c>
      <c r="G357" t="str">
        <f t="shared" si="90"/>
        <v>90000032</v>
      </c>
      <c r="H357" t="str">
        <f t="shared" si="79"/>
        <v>01</v>
      </c>
      <c r="I357" t="s">
        <v>93</v>
      </c>
      <c r="J357" t="str">
        <f t="shared" si="87"/>
        <v>2202</v>
      </c>
      <c r="K357" t="str">
        <f>"07"</f>
        <v>07</v>
      </c>
      <c r="L357" s="3">
        <v>33.5</v>
      </c>
      <c r="M357" s="5">
        <v>33.5</v>
      </c>
      <c r="N357" s="7">
        <v>33.5</v>
      </c>
      <c r="O357" s="3">
        <v>0</v>
      </c>
      <c r="P357" s="7">
        <v>0</v>
      </c>
      <c r="Q357" s="7">
        <v>0</v>
      </c>
      <c r="R357" s="7">
        <v>0</v>
      </c>
      <c r="S357" s="7">
        <v>0</v>
      </c>
      <c r="T357" s="7">
        <v>33.5</v>
      </c>
      <c r="U357" s="3">
        <v>0</v>
      </c>
      <c r="V357" s="7">
        <v>0</v>
      </c>
      <c r="W357" s="7">
        <v>0</v>
      </c>
      <c r="X357" s="3">
        <v>0</v>
      </c>
      <c r="Y357" s="7">
        <v>0</v>
      </c>
    </row>
    <row r="358" spans="1:25" x14ac:dyDescent="0.25">
      <c r="A358" t="s">
        <v>25</v>
      </c>
      <c r="B358" t="s">
        <v>26</v>
      </c>
      <c r="C358" t="str">
        <f t="shared" si="84"/>
        <v>1</v>
      </c>
      <c r="D358" t="s">
        <v>27</v>
      </c>
      <c r="E358" t="str">
        <f>"0508004"</f>
        <v>0508004</v>
      </c>
      <c r="F358" t="str">
        <f t="shared" si="89"/>
        <v>2322</v>
      </c>
      <c r="G358" t="str">
        <f t="shared" si="90"/>
        <v>90000032</v>
      </c>
      <c r="H358" t="str">
        <f t="shared" si="79"/>
        <v>01</v>
      </c>
      <c r="I358" t="s">
        <v>93</v>
      </c>
      <c r="J358" t="str">
        <f t="shared" si="87"/>
        <v>2202</v>
      </c>
      <c r="K358" t="str">
        <f>"06"</f>
        <v>06</v>
      </c>
      <c r="L358" s="3">
        <v>39</v>
      </c>
      <c r="M358" s="5">
        <v>39</v>
      </c>
      <c r="N358" s="7">
        <v>39</v>
      </c>
      <c r="O358" s="3">
        <v>0</v>
      </c>
      <c r="P358" s="7">
        <v>0</v>
      </c>
      <c r="Q358" s="7">
        <v>0</v>
      </c>
      <c r="R358" s="7">
        <v>0</v>
      </c>
      <c r="S358" s="7">
        <v>0</v>
      </c>
      <c r="T358" s="7">
        <v>39</v>
      </c>
      <c r="U358" s="3">
        <v>0</v>
      </c>
      <c r="V358" s="7">
        <v>0</v>
      </c>
      <c r="W358" s="7">
        <v>0</v>
      </c>
      <c r="X358" s="3">
        <v>0</v>
      </c>
      <c r="Y358" s="7">
        <v>0</v>
      </c>
    </row>
    <row r="359" spans="1:25" x14ac:dyDescent="0.25">
      <c r="A359" t="s">
        <v>25</v>
      </c>
      <c r="B359" t="s">
        <v>26</v>
      </c>
      <c r="C359" t="str">
        <f t="shared" si="84"/>
        <v>1</v>
      </c>
      <c r="D359" t="s">
        <v>27</v>
      </c>
      <c r="E359" t="str">
        <f>"0508005"</f>
        <v>0508005</v>
      </c>
      <c r="F359" t="str">
        <f t="shared" si="89"/>
        <v>2322</v>
      </c>
      <c r="G359" t="str">
        <f t="shared" si="90"/>
        <v>90000032</v>
      </c>
      <c r="H359" t="str">
        <f t="shared" si="79"/>
        <v>01</v>
      </c>
      <c r="I359" t="s">
        <v>93</v>
      </c>
      <c r="J359" t="str">
        <f t="shared" si="87"/>
        <v>2202</v>
      </c>
      <c r="K359" t="str">
        <f>"06"</f>
        <v>06</v>
      </c>
      <c r="L359" s="3">
        <v>39</v>
      </c>
      <c r="M359" s="5">
        <v>39</v>
      </c>
      <c r="N359" s="7">
        <v>39</v>
      </c>
      <c r="O359" s="3">
        <v>0</v>
      </c>
      <c r="P359" s="7">
        <v>0</v>
      </c>
      <c r="Q359" s="7">
        <v>0</v>
      </c>
      <c r="R359" s="7">
        <v>0</v>
      </c>
      <c r="S359" s="7">
        <v>0</v>
      </c>
      <c r="T359" s="7">
        <v>39</v>
      </c>
      <c r="U359" s="3">
        <v>0</v>
      </c>
      <c r="V359" s="7">
        <v>0</v>
      </c>
      <c r="W359" s="7">
        <v>0</v>
      </c>
      <c r="X359" s="3">
        <v>0</v>
      </c>
      <c r="Y359" s="7">
        <v>0</v>
      </c>
    </row>
    <row r="360" spans="1:25" x14ac:dyDescent="0.25">
      <c r="A360" t="s">
        <v>25</v>
      </c>
      <c r="B360" t="s">
        <v>26</v>
      </c>
      <c r="C360" t="str">
        <f t="shared" si="84"/>
        <v>1</v>
      </c>
      <c r="D360" t="s">
        <v>27</v>
      </c>
      <c r="E360" t="str">
        <f>"0508005"</f>
        <v>0508005</v>
      </c>
      <c r="F360" t="str">
        <f t="shared" si="89"/>
        <v>2322</v>
      </c>
      <c r="G360" t="str">
        <f t="shared" si="90"/>
        <v>90000032</v>
      </c>
      <c r="H360" t="str">
        <f t="shared" si="79"/>
        <v>01</v>
      </c>
      <c r="I360" t="s">
        <v>93</v>
      </c>
      <c r="J360" t="str">
        <f t="shared" si="87"/>
        <v>2202</v>
      </c>
      <c r="K360" t="str">
        <f>"06"</f>
        <v>06</v>
      </c>
      <c r="L360" s="3">
        <v>55.5</v>
      </c>
      <c r="M360" s="5">
        <v>55.5</v>
      </c>
      <c r="N360" s="7">
        <v>55.5</v>
      </c>
      <c r="O360" s="3">
        <v>0</v>
      </c>
      <c r="P360" s="7">
        <v>0</v>
      </c>
      <c r="Q360" s="7">
        <v>0</v>
      </c>
      <c r="R360" s="7">
        <v>0</v>
      </c>
      <c r="S360" s="7">
        <v>0</v>
      </c>
      <c r="T360" s="7">
        <v>55.5</v>
      </c>
      <c r="U360" s="3">
        <v>0</v>
      </c>
      <c r="V360" s="7">
        <v>0</v>
      </c>
      <c r="W360" s="7">
        <v>0</v>
      </c>
      <c r="X360" s="3">
        <v>0</v>
      </c>
      <c r="Y360" s="7">
        <v>0</v>
      </c>
    </row>
    <row r="361" spans="1:25" x14ac:dyDescent="0.25">
      <c r="A361" t="s">
        <v>25</v>
      </c>
      <c r="B361" t="s">
        <v>26</v>
      </c>
      <c r="C361" t="str">
        <f t="shared" si="84"/>
        <v>1</v>
      </c>
      <c r="D361" t="s">
        <v>27</v>
      </c>
      <c r="E361" t="str">
        <f>"0801002"</f>
        <v>0801002</v>
      </c>
      <c r="F361" t="str">
        <f t="shared" si="89"/>
        <v>2322</v>
      </c>
      <c r="G361" t="str">
        <f t="shared" si="90"/>
        <v>90000032</v>
      </c>
      <c r="H361" t="str">
        <f t="shared" si="79"/>
        <v>01</v>
      </c>
      <c r="I361" t="s">
        <v>93</v>
      </c>
      <c r="J361" t="str">
        <f t="shared" si="87"/>
        <v>2202</v>
      </c>
      <c r="K361" t="str">
        <f>"07"</f>
        <v>07</v>
      </c>
      <c r="L361" s="3">
        <v>3.35</v>
      </c>
      <c r="M361" s="5">
        <v>3.35</v>
      </c>
      <c r="N361" s="7">
        <v>3.35</v>
      </c>
      <c r="O361" s="3">
        <v>0</v>
      </c>
      <c r="P361" s="7">
        <v>0</v>
      </c>
      <c r="Q361" s="7">
        <v>0</v>
      </c>
      <c r="R361" s="7">
        <v>0</v>
      </c>
      <c r="S361" s="7">
        <v>0</v>
      </c>
      <c r="T361" s="7">
        <v>3.35</v>
      </c>
      <c r="U361" s="3">
        <v>0</v>
      </c>
      <c r="V361" s="7">
        <v>0</v>
      </c>
      <c r="W361" s="7">
        <v>0</v>
      </c>
      <c r="X361" s="3">
        <v>0</v>
      </c>
      <c r="Y361" s="7">
        <v>0</v>
      </c>
    </row>
    <row r="362" spans="1:25" x14ac:dyDescent="0.25">
      <c r="A362" t="s">
        <v>25</v>
      </c>
      <c r="B362" t="s">
        <v>26</v>
      </c>
      <c r="C362" t="str">
        <f t="shared" si="84"/>
        <v>1</v>
      </c>
      <c r="D362" t="s">
        <v>27</v>
      </c>
      <c r="E362" t="str">
        <f>"0801003"</f>
        <v>0801003</v>
      </c>
      <c r="F362" t="str">
        <f t="shared" si="89"/>
        <v>2322</v>
      </c>
      <c r="G362" t="str">
        <f t="shared" si="90"/>
        <v>90000032</v>
      </c>
      <c r="H362" t="str">
        <f t="shared" si="79"/>
        <v>01</v>
      </c>
      <c r="I362" t="s">
        <v>93</v>
      </c>
      <c r="J362" t="str">
        <f t="shared" si="87"/>
        <v>2202</v>
      </c>
      <c r="K362" t="str">
        <f>"07"</f>
        <v>07</v>
      </c>
      <c r="L362" s="3">
        <v>3.35</v>
      </c>
      <c r="M362" s="5">
        <v>3.35</v>
      </c>
      <c r="N362" s="7">
        <v>3.35</v>
      </c>
      <c r="O362" s="3">
        <v>0</v>
      </c>
      <c r="P362" s="7">
        <v>0</v>
      </c>
      <c r="Q362" s="7">
        <v>0</v>
      </c>
      <c r="R362" s="7">
        <v>0</v>
      </c>
      <c r="S362" s="7">
        <v>0</v>
      </c>
      <c r="T362" s="7">
        <v>3.35</v>
      </c>
      <c r="U362" s="3">
        <v>0</v>
      </c>
      <c r="V362" s="7">
        <v>0</v>
      </c>
      <c r="W362" s="7">
        <v>0</v>
      </c>
      <c r="X362" s="3">
        <v>0</v>
      </c>
      <c r="Y362" s="7">
        <v>0</v>
      </c>
    </row>
    <row r="363" spans="1:25" x14ac:dyDescent="0.25">
      <c r="A363" t="s">
        <v>25</v>
      </c>
      <c r="B363" t="s">
        <v>26</v>
      </c>
      <c r="C363" t="str">
        <f t="shared" si="84"/>
        <v>1</v>
      </c>
      <c r="D363" t="s">
        <v>27</v>
      </c>
      <c r="E363" t="str">
        <f>"0808001"</f>
        <v>0808001</v>
      </c>
      <c r="F363" t="str">
        <f t="shared" si="89"/>
        <v>2322</v>
      </c>
      <c r="G363" t="str">
        <f t="shared" si="90"/>
        <v>90000032</v>
      </c>
      <c r="H363" t="str">
        <f t="shared" si="79"/>
        <v>01</v>
      </c>
      <c r="I363" t="s">
        <v>93</v>
      </c>
      <c r="J363" t="str">
        <f t="shared" si="87"/>
        <v>2202</v>
      </c>
      <c r="K363" t="str">
        <f>"06"</f>
        <v>06</v>
      </c>
      <c r="L363" s="3">
        <v>7.8</v>
      </c>
      <c r="M363" s="5">
        <v>7.8</v>
      </c>
      <c r="N363" s="7">
        <v>7.8</v>
      </c>
      <c r="O363" s="3">
        <v>0</v>
      </c>
      <c r="P363" s="7">
        <v>0</v>
      </c>
      <c r="Q363" s="7">
        <v>0</v>
      </c>
      <c r="R363" s="7">
        <v>0</v>
      </c>
      <c r="S363" s="7">
        <v>0</v>
      </c>
      <c r="T363" s="7">
        <v>7.8</v>
      </c>
      <c r="U363" s="3">
        <v>0</v>
      </c>
      <c r="V363" s="7">
        <v>0</v>
      </c>
      <c r="W363" s="7">
        <v>0</v>
      </c>
      <c r="X363" s="3">
        <v>0</v>
      </c>
      <c r="Y363" s="7">
        <v>0</v>
      </c>
    </row>
    <row r="364" spans="1:25" x14ac:dyDescent="0.25">
      <c r="A364" t="s">
        <v>25</v>
      </c>
      <c r="B364" t="s">
        <v>26</v>
      </c>
      <c r="C364" t="str">
        <f t="shared" si="84"/>
        <v>1</v>
      </c>
      <c r="D364" t="s">
        <v>27</v>
      </c>
      <c r="E364" t="str">
        <f>"2907003"</f>
        <v>2907003</v>
      </c>
      <c r="F364" t="str">
        <f t="shared" si="89"/>
        <v>2322</v>
      </c>
      <c r="G364" t="str">
        <f t="shared" si="90"/>
        <v>90000032</v>
      </c>
      <c r="H364" t="str">
        <f t="shared" si="79"/>
        <v>01</v>
      </c>
      <c r="I364" t="s">
        <v>93</v>
      </c>
      <c r="J364" t="str">
        <f t="shared" si="87"/>
        <v>2202</v>
      </c>
      <c r="K364" t="str">
        <f>"07"</f>
        <v>07</v>
      </c>
      <c r="L364" s="3">
        <v>0.73</v>
      </c>
      <c r="M364" s="5">
        <v>0.73</v>
      </c>
      <c r="N364" s="7">
        <v>0.73</v>
      </c>
      <c r="O364" s="3">
        <v>0</v>
      </c>
      <c r="P364" s="7">
        <v>0</v>
      </c>
      <c r="Q364" s="7">
        <v>0</v>
      </c>
      <c r="R364" s="7">
        <v>0</v>
      </c>
      <c r="S364" s="7">
        <v>0</v>
      </c>
      <c r="T364" s="7">
        <v>0.73</v>
      </c>
      <c r="U364" s="3">
        <v>0</v>
      </c>
      <c r="V364" s="7">
        <v>0</v>
      </c>
      <c r="W364" s="7">
        <v>0</v>
      </c>
      <c r="X364" s="3">
        <v>0</v>
      </c>
      <c r="Y364" s="7">
        <v>0</v>
      </c>
    </row>
    <row r="365" spans="1:25" x14ac:dyDescent="0.25">
      <c r="A365" t="s">
        <v>25</v>
      </c>
      <c r="B365" t="s">
        <v>26</v>
      </c>
      <c r="C365" t="str">
        <f t="shared" si="84"/>
        <v>1</v>
      </c>
      <c r="D365" t="s">
        <v>27</v>
      </c>
      <c r="E365" t="str">
        <f>"2907003"</f>
        <v>2907003</v>
      </c>
      <c r="F365" t="str">
        <f t="shared" si="89"/>
        <v>2322</v>
      </c>
      <c r="G365" t="str">
        <f t="shared" si="90"/>
        <v>90000032</v>
      </c>
      <c r="H365" t="str">
        <f t="shared" si="79"/>
        <v>01</v>
      </c>
      <c r="I365" t="s">
        <v>93</v>
      </c>
      <c r="J365" t="str">
        <f t="shared" si="87"/>
        <v>2202</v>
      </c>
      <c r="K365" t="str">
        <f>"07"</f>
        <v>07</v>
      </c>
      <c r="L365" s="3">
        <v>0.73</v>
      </c>
      <c r="M365" s="5">
        <v>0.73</v>
      </c>
      <c r="N365" s="7">
        <v>0.73</v>
      </c>
      <c r="O365" s="3">
        <v>0</v>
      </c>
      <c r="P365" s="7">
        <v>0</v>
      </c>
      <c r="Q365" s="7">
        <v>0</v>
      </c>
      <c r="R365" s="7">
        <v>0</v>
      </c>
      <c r="S365" s="7">
        <v>0</v>
      </c>
      <c r="T365" s="7">
        <v>0.73</v>
      </c>
      <c r="U365" s="3">
        <v>0</v>
      </c>
      <c r="V365" s="7">
        <v>0</v>
      </c>
      <c r="W365" s="7">
        <v>0</v>
      </c>
      <c r="X365" s="3">
        <v>0</v>
      </c>
      <c r="Y365" s="7">
        <v>0</v>
      </c>
    </row>
    <row r="366" spans="1:25" x14ac:dyDescent="0.25">
      <c r="A366" t="s">
        <v>25</v>
      </c>
      <c r="B366" t="s">
        <v>26</v>
      </c>
      <c r="C366" t="str">
        <f t="shared" si="84"/>
        <v>1</v>
      </c>
      <c r="D366" t="s">
        <v>33</v>
      </c>
      <c r="E366" t="str">
        <f>"0001802"</f>
        <v>0001802</v>
      </c>
      <c r="F366" t="s">
        <v>94</v>
      </c>
      <c r="G366" t="str">
        <f t="shared" ref="G366:G374" si="91">"1"</f>
        <v>1</v>
      </c>
      <c r="H366" t="str">
        <f t="shared" si="79"/>
        <v>01</v>
      </c>
      <c r="I366" t="s">
        <v>75</v>
      </c>
      <c r="J366" t="str">
        <f t="shared" ref="J366:J374" si="92">"2551"</f>
        <v>2551</v>
      </c>
      <c r="K366" t="str">
        <f>"99"</f>
        <v>99</v>
      </c>
      <c r="L366" s="3">
        <v>5000</v>
      </c>
      <c r="M366" s="5">
        <v>5000</v>
      </c>
      <c r="N366" s="7">
        <v>0</v>
      </c>
      <c r="O366" s="3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3">
        <v>0</v>
      </c>
      <c r="V366" s="7">
        <v>0</v>
      </c>
      <c r="W366" s="7">
        <v>0</v>
      </c>
      <c r="X366" s="3">
        <v>0</v>
      </c>
      <c r="Y366" s="7">
        <v>0</v>
      </c>
    </row>
    <row r="367" spans="1:25" x14ac:dyDescent="0.25">
      <c r="A367" t="s">
        <v>25</v>
      </c>
      <c r="B367" t="s">
        <v>26</v>
      </c>
      <c r="C367" t="str">
        <f t="shared" si="84"/>
        <v>1</v>
      </c>
      <c r="D367" t="s">
        <v>33</v>
      </c>
      <c r="E367" t="str">
        <f>"0001803"</f>
        <v>0001803</v>
      </c>
      <c r="F367" t="s">
        <v>94</v>
      </c>
      <c r="G367" t="str">
        <f t="shared" si="91"/>
        <v>1</v>
      </c>
      <c r="H367" t="str">
        <f t="shared" si="79"/>
        <v>01</v>
      </c>
      <c r="I367" t="s">
        <v>75</v>
      </c>
      <c r="J367" t="str">
        <f t="shared" si="92"/>
        <v>2551</v>
      </c>
      <c r="K367" t="str">
        <f>"08"</f>
        <v>08</v>
      </c>
      <c r="L367" s="3">
        <v>1000</v>
      </c>
      <c r="M367" s="5">
        <v>1000</v>
      </c>
      <c r="N367" s="7">
        <v>0</v>
      </c>
      <c r="O367" s="3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3">
        <v>0</v>
      </c>
      <c r="V367" s="7">
        <v>0</v>
      </c>
      <c r="W367" s="7">
        <v>0</v>
      </c>
      <c r="X367" s="3">
        <v>0</v>
      </c>
      <c r="Y367" s="7">
        <v>0</v>
      </c>
    </row>
    <row r="368" spans="1:25" x14ac:dyDescent="0.25">
      <c r="A368" t="s">
        <v>25</v>
      </c>
      <c r="B368" t="s">
        <v>26</v>
      </c>
      <c r="C368" t="str">
        <f t="shared" si="84"/>
        <v>1</v>
      </c>
      <c r="D368" t="s">
        <v>33</v>
      </c>
      <c r="E368" t="str">
        <f>"0004100"</f>
        <v>0004100</v>
      </c>
      <c r="F368" t="s">
        <v>94</v>
      </c>
      <c r="G368" t="str">
        <f t="shared" si="91"/>
        <v>1</v>
      </c>
      <c r="H368" t="str">
        <f t="shared" si="79"/>
        <v>01</v>
      </c>
      <c r="I368" t="s">
        <v>75</v>
      </c>
      <c r="J368" t="str">
        <f t="shared" si="92"/>
        <v>2551</v>
      </c>
      <c r="K368" t="str">
        <f t="shared" ref="K368:K374" si="93">"09"</f>
        <v>09</v>
      </c>
      <c r="L368" s="3">
        <v>1000</v>
      </c>
      <c r="M368" s="5">
        <v>1000</v>
      </c>
      <c r="N368" s="7">
        <v>1000</v>
      </c>
      <c r="O368" s="3">
        <v>0</v>
      </c>
      <c r="P368" s="7">
        <v>16.5</v>
      </c>
      <c r="Q368" s="7">
        <v>0</v>
      </c>
      <c r="R368" s="7">
        <v>0</v>
      </c>
      <c r="S368" s="7">
        <v>0</v>
      </c>
      <c r="T368" s="7">
        <v>1000</v>
      </c>
      <c r="U368" s="3">
        <v>0</v>
      </c>
      <c r="V368" s="7">
        <v>76</v>
      </c>
      <c r="W368" s="7">
        <v>0</v>
      </c>
      <c r="X368" s="3">
        <v>0</v>
      </c>
      <c r="Y368" s="7">
        <v>0</v>
      </c>
    </row>
    <row r="369" spans="1:25" x14ac:dyDescent="0.25">
      <c r="A369" t="s">
        <v>25</v>
      </c>
      <c r="B369" t="s">
        <v>26</v>
      </c>
      <c r="C369" t="str">
        <f t="shared" si="84"/>
        <v>1</v>
      </c>
      <c r="D369" t="s">
        <v>33</v>
      </c>
      <c r="E369" t="str">
        <f>"0007458"</f>
        <v>0007458</v>
      </c>
      <c r="F369" t="s">
        <v>94</v>
      </c>
      <c r="G369" t="str">
        <f t="shared" si="91"/>
        <v>1</v>
      </c>
      <c r="H369" t="str">
        <f t="shared" si="79"/>
        <v>01</v>
      </c>
      <c r="I369" t="s">
        <v>75</v>
      </c>
      <c r="J369" t="str">
        <f t="shared" si="92"/>
        <v>2551</v>
      </c>
      <c r="K369" t="str">
        <f t="shared" si="93"/>
        <v>09</v>
      </c>
      <c r="L369" s="3">
        <v>7800</v>
      </c>
      <c r="M369" s="5">
        <v>7800</v>
      </c>
      <c r="N369" s="7">
        <v>7800</v>
      </c>
      <c r="O369" s="3">
        <v>0</v>
      </c>
      <c r="P369" s="7">
        <v>128.69999999999999</v>
      </c>
      <c r="Q369" s="7">
        <v>0</v>
      </c>
      <c r="R369" s="7">
        <v>0</v>
      </c>
      <c r="S369" s="7">
        <v>0</v>
      </c>
      <c r="T369" s="7">
        <v>7800</v>
      </c>
      <c r="U369" s="3">
        <v>0</v>
      </c>
      <c r="V369" s="7">
        <v>592.79999999999995</v>
      </c>
      <c r="W369" s="7">
        <v>0</v>
      </c>
      <c r="X369" s="3">
        <v>0</v>
      </c>
      <c r="Y369" s="7">
        <v>0</v>
      </c>
    </row>
    <row r="370" spans="1:25" x14ac:dyDescent="0.25">
      <c r="A370" t="s">
        <v>25</v>
      </c>
      <c r="B370" t="s">
        <v>26</v>
      </c>
      <c r="C370" t="str">
        <f t="shared" si="84"/>
        <v>1</v>
      </c>
      <c r="D370" t="s">
        <v>33</v>
      </c>
      <c r="E370" t="str">
        <f>"0008100"</f>
        <v>0008100</v>
      </c>
      <c r="F370" t="s">
        <v>94</v>
      </c>
      <c r="G370" t="str">
        <f t="shared" si="91"/>
        <v>1</v>
      </c>
      <c r="H370" t="str">
        <f t="shared" si="79"/>
        <v>01</v>
      </c>
      <c r="I370" t="s">
        <v>75</v>
      </c>
      <c r="J370" t="str">
        <f t="shared" si="92"/>
        <v>2551</v>
      </c>
      <c r="K370" t="str">
        <f t="shared" si="93"/>
        <v>09</v>
      </c>
      <c r="L370" s="3">
        <v>3000</v>
      </c>
      <c r="M370" s="5">
        <v>3000</v>
      </c>
      <c r="N370" s="7">
        <v>3000</v>
      </c>
      <c r="O370" s="3">
        <v>0</v>
      </c>
      <c r="P370" s="7">
        <v>49.5</v>
      </c>
      <c r="Q370" s="7">
        <v>0</v>
      </c>
      <c r="R370" s="7">
        <v>0</v>
      </c>
      <c r="S370" s="7">
        <v>0</v>
      </c>
      <c r="T370" s="7">
        <v>3000</v>
      </c>
      <c r="U370" s="3">
        <v>0</v>
      </c>
      <c r="V370" s="7">
        <v>228</v>
      </c>
      <c r="W370" s="7">
        <v>0</v>
      </c>
      <c r="X370" s="3">
        <v>0</v>
      </c>
      <c r="Y370" s="7">
        <v>0</v>
      </c>
    </row>
    <row r="371" spans="1:25" x14ac:dyDescent="0.25">
      <c r="A371" t="s">
        <v>25</v>
      </c>
      <c r="B371" t="s">
        <v>26</v>
      </c>
      <c r="C371" t="str">
        <f t="shared" si="84"/>
        <v>1</v>
      </c>
      <c r="D371" t="s">
        <v>33</v>
      </c>
      <c r="E371" t="str">
        <f>"0008101"</f>
        <v>0008101</v>
      </c>
      <c r="F371" t="s">
        <v>94</v>
      </c>
      <c r="G371" t="str">
        <f t="shared" si="91"/>
        <v>1</v>
      </c>
      <c r="H371" t="str">
        <f t="shared" si="79"/>
        <v>01</v>
      </c>
      <c r="I371" t="s">
        <v>95</v>
      </c>
      <c r="J371" t="str">
        <f t="shared" si="92"/>
        <v>2551</v>
      </c>
      <c r="K371" t="str">
        <f t="shared" si="93"/>
        <v>09</v>
      </c>
      <c r="L371" s="3">
        <v>100</v>
      </c>
      <c r="M371" s="5">
        <v>100</v>
      </c>
      <c r="N371" s="7">
        <v>100</v>
      </c>
      <c r="O371" s="3">
        <v>0</v>
      </c>
      <c r="P371" s="7">
        <v>1.65</v>
      </c>
      <c r="Q371" s="7">
        <v>0</v>
      </c>
      <c r="R371" s="7">
        <v>0</v>
      </c>
      <c r="S371" s="7">
        <v>0</v>
      </c>
      <c r="T371" s="7">
        <v>100</v>
      </c>
      <c r="U371" s="3">
        <v>0</v>
      </c>
      <c r="V371" s="7">
        <v>7.6</v>
      </c>
      <c r="W371" s="7">
        <v>0</v>
      </c>
      <c r="X371" s="3">
        <v>0</v>
      </c>
      <c r="Y371" s="7">
        <v>0</v>
      </c>
    </row>
    <row r="372" spans="1:25" x14ac:dyDescent="0.25">
      <c r="A372" t="s">
        <v>25</v>
      </c>
      <c r="B372" t="s">
        <v>26</v>
      </c>
      <c r="C372" t="str">
        <f t="shared" si="84"/>
        <v>1</v>
      </c>
      <c r="D372" t="s">
        <v>33</v>
      </c>
      <c r="E372" t="str">
        <f>"0008103"</f>
        <v>0008103</v>
      </c>
      <c r="F372" t="s">
        <v>94</v>
      </c>
      <c r="G372" t="str">
        <f t="shared" si="91"/>
        <v>1</v>
      </c>
      <c r="H372" t="str">
        <f t="shared" si="79"/>
        <v>01</v>
      </c>
      <c r="I372" t="s">
        <v>95</v>
      </c>
      <c r="J372" t="str">
        <f t="shared" si="92"/>
        <v>2551</v>
      </c>
      <c r="K372" t="str">
        <f t="shared" si="93"/>
        <v>09</v>
      </c>
      <c r="L372" s="3">
        <v>100</v>
      </c>
      <c r="M372" s="5">
        <v>100</v>
      </c>
      <c r="N372" s="7">
        <v>100</v>
      </c>
      <c r="O372" s="3">
        <v>0</v>
      </c>
      <c r="P372" s="7">
        <v>1.65</v>
      </c>
      <c r="Q372" s="7">
        <v>0</v>
      </c>
      <c r="R372" s="7">
        <v>0</v>
      </c>
      <c r="S372" s="7">
        <v>0</v>
      </c>
      <c r="T372" s="7">
        <v>100</v>
      </c>
      <c r="U372" s="3">
        <v>0</v>
      </c>
      <c r="V372" s="7">
        <v>7.6</v>
      </c>
      <c r="W372" s="7">
        <v>0</v>
      </c>
      <c r="X372" s="3">
        <v>0</v>
      </c>
      <c r="Y372" s="7">
        <v>0</v>
      </c>
    </row>
    <row r="373" spans="1:25" x14ac:dyDescent="0.25">
      <c r="A373" t="s">
        <v>25</v>
      </c>
      <c r="B373" t="s">
        <v>26</v>
      </c>
      <c r="C373" t="str">
        <f t="shared" si="84"/>
        <v>1</v>
      </c>
      <c r="D373" t="s">
        <v>33</v>
      </c>
      <c r="E373" t="str">
        <f>"0008105"</f>
        <v>0008105</v>
      </c>
      <c r="F373" t="s">
        <v>94</v>
      </c>
      <c r="G373" t="str">
        <f t="shared" si="91"/>
        <v>1</v>
      </c>
      <c r="H373" t="str">
        <f t="shared" si="79"/>
        <v>01</v>
      </c>
      <c r="I373" t="s">
        <v>95</v>
      </c>
      <c r="J373" t="str">
        <f t="shared" si="92"/>
        <v>2551</v>
      </c>
      <c r="K373" t="str">
        <f t="shared" si="93"/>
        <v>09</v>
      </c>
      <c r="L373" s="3">
        <v>100</v>
      </c>
      <c r="M373" s="5">
        <v>100</v>
      </c>
      <c r="N373" s="7">
        <v>100</v>
      </c>
      <c r="O373" s="3">
        <v>0</v>
      </c>
      <c r="P373" s="7">
        <v>1.65</v>
      </c>
      <c r="Q373" s="7">
        <v>0</v>
      </c>
      <c r="R373" s="7">
        <v>0</v>
      </c>
      <c r="S373" s="7">
        <v>0</v>
      </c>
      <c r="T373" s="7">
        <v>100</v>
      </c>
      <c r="U373" s="3">
        <v>0</v>
      </c>
      <c r="V373" s="7">
        <v>7.6</v>
      </c>
      <c r="W373" s="7">
        <v>0</v>
      </c>
      <c r="X373" s="3">
        <v>0</v>
      </c>
      <c r="Y373" s="7">
        <v>0</v>
      </c>
    </row>
    <row r="374" spans="1:25" x14ac:dyDescent="0.25">
      <c r="A374" t="s">
        <v>25</v>
      </c>
      <c r="B374" t="s">
        <v>26</v>
      </c>
      <c r="C374" t="str">
        <f t="shared" si="84"/>
        <v>1</v>
      </c>
      <c r="D374" t="s">
        <v>33</v>
      </c>
      <c r="E374" t="str">
        <f>"2736373"</f>
        <v>2736373</v>
      </c>
      <c r="F374" t="s">
        <v>94</v>
      </c>
      <c r="G374" t="str">
        <f t="shared" si="91"/>
        <v>1</v>
      </c>
      <c r="H374" t="str">
        <f t="shared" si="79"/>
        <v>01</v>
      </c>
      <c r="I374" t="s">
        <v>75</v>
      </c>
      <c r="J374" t="str">
        <f t="shared" si="92"/>
        <v>2551</v>
      </c>
      <c r="K374" t="str">
        <f t="shared" si="93"/>
        <v>09</v>
      </c>
      <c r="L374" s="3">
        <v>100</v>
      </c>
      <c r="M374" s="5">
        <v>100</v>
      </c>
      <c r="N374" s="7">
        <v>100</v>
      </c>
      <c r="O374" s="3">
        <v>0</v>
      </c>
      <c r="P374" s="7">
        <v>0</v>
      </c>
      <c r="Q374" s="7">
        <v>0</v>
      </c>
      <c r="R374" s="7">
        <v>0</v>
      </c>
      <c r="S374" s="7">
        <v>0</v>
      </c>
      <c r="T374" s="7">
        <v>100</v>
      </c>
      <c r="U374" s="3">
        <v>0</v>
      </c>
      <c r="V374" s="7">
        <v>0</v>
      </c>
      <c r="W374" s="7">
        <v>0</v>
      </c>
      <c r="X374" s="3">
        <v>0</v>
      </c>
      <c r="Y374" s="7">
        <v>0</v>
      </c>
    </row>
    <row r="375" spans="1:25" x14ac:dyDescent="0.25">
      <c r="A375" t="s">
        <v>25</v>
      </c>
      <c r="B375" t="s">
        <v>26</v>
      </c>
      <c r="C375" t="str">
        <f t="shared" si="84"/>
        <v>1</v>
      </c>
      <c r="D375" t="s">
        <v>33</v>
      </c>
      <c r="E375" t="str">
        <f>"0150811"</f>
        <v>0150811</v>
      </c>
      <c r="F375" t="s">
        <v>96</v>
      </c>
      <c r="G375" t="str">
        <f>"14"</f>
        <v>14</v>
      </c>
      <c r="H375" t="str">
        <f t="shared" si="79"/>
        <v>01</v>
      </c>
      <c r="I375" t="s">
        <v>52</v>
      </c>
      <c r="J375" t="str">
        <f>"3101"</f>
        <v>3101</v>
      </c>
      <c r="K375" t="str">
        <f>"07"</f>
        <v>07</v>
      </c>
      <c r="L375" s="3">
        <v>21.14</v>
      </c>
      <c r="M375" s="5">
        <v>21.14</v>
      </c>
      <c r="N375" s="7">
        <v>21.14</v>
      </c>
      <c r="O375" s="3">
        <v>0</v>
      </c>
      <c r="P375" s="7">
        <v>0</v>
      </c>
      <c r="Q375" s="7">
        <v>0</v>
      </c>
      <c r="R375" s="7">
        <v>0</v>
      </c>
      <c r="S375" s="7">
        <v>0</v>
      </c>
      <c r="T375" s="7">
        <v>21.14</v>
      </c>
      <c r="U375" s="3">
        <v>0</v>
      </c>
      <c r="V375" s="7">
        <v>0</v>
      </c>
      <c r="W375" s="7">
        <v>0</v>
      </c>
      <c r="X375" s="3">
        <v>0</v>
      </c>
      <c r="Y375" s="7">
        <v>0</v>
      </c>
    </row>
    <row r="376" spans="1:25" x14ac:dyDescent="0.25">
      <c r="A376" t="s">
        <v>25</v>
      </c>
      <c r="B376" t="s">
        <v>26</v>
      </c>
      <c r="C376" t="str">
        <f t="shared" si="84"/>
        <v>1</v>
      </c>
      <c r="D376" t="s">
        <v>33</v>
      </c>
      <c r="E376" t="str">
        <f>"0150815"</f>
        <v>0150815</v>
      </c>
      <c r="F376" t="str">
        <f>"3111"</f>
        <v>3111</v>
      </c>
      <c r="G376" t="str">
        <f>"14"</f>
        <v>14</v>
      </c>
      <c r="H376" t="str">
        <f t="shared" si="79"/>
        <v>01</v>
      </c>
      <c r="I376" t="s">
        <v>52</v>
      </c>
      <c r="J376" t="str">
        <f>"3101"</f>
        <v>3101</v>
      </c>
      <c r="K376" t="str">
        <f>"08"</f>
        <v>08</v>
      </c>
      <c r="L376" s="3">
        <v>723.38</v>
      </c>
      <c r="M376" s="5">
        <v>554.14</v>
      </c>
      <c r="N376" s="7">
        <v>0</v>
      </c>
      <c r="O376" s="3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  <c r="U376" s="3">
        <v>0</v>
      </c>
      <c r="V376" s="7">
        <v>0</v>
      </c>
      <c r="W376" s="7">
        <v>0</v>
      </c>
      <c r="X376" s="3">
        <v>0</v>
      </c>
      <c r="Y376" s="7">
        <v>0</v>
      </c>
    </row>
    <row r="377" spans="1:25" x14ac:dyDescent="0.25">
      <c r="A377" t="s">
        <v>25</v>
      </c>
      <c r="B377" t="s">
        <v>26</v>
      </c>
      <c r="C377" t="str">
        <f t="shared" si="84"/>
        <v>1</v>
      </c>
      <c r="D377" t="s">
        <v>33</v>
      </c>
      <c r="E377" t="str">
        <f>"0160810"</f>
        <v>0160810</v>
      </c>
      <c r="F377" t="str">
        <f>"3111"</f>
        <v>3111</v>
      </c>
      <c r="G377" t="str">
        <f>"14"</f>
        <v>14</v>
      </c>
      <c r="H377" t="str">
        <f t="shared" si="79"/>
        <v>01</v>
      </c>
      <c r="I377" t="s">
        <v>52</v>
      </c>
      <c r="J377" t="str">
        <f>"3101"</f>
        <v>3101</v>
      </c>
      <c r="K377" t="str">
        <f>"08"</f>
        <v>08</v>
      </c>
      <c r="L377" s="3">
        <v>355.82</v>
      </c>
      <c r="M377" s="5">
        <v>272.58</v>
      </c>
      <c r="N377" s="7">
        <v>0</v>
      </c>
      <c r="O377" s="3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  <c r="U377" s="3">
        <v>0</v>
      </c>
      <c r="V377" s="7">
        <v>0</v>
      </c>
      <c r="W377" s="7">
        <v>0</v>
      </c>
      <c r="X377" s="3">
        <v>0</v>
      </c>
      <c r="Y377" s="7">
        <v>0</v>
      </c>
    </row>
    <row r="378" spans="1:25" x14ac:dyDescent="0.25">
      <c r="A378" t="s">
        <v>25</v>
      </c>
      <c r="B378" t="s">
        <v>26</v>
      </c>
      <c r="C378" t="str">
        <f t="shared" si="84"/>
        <v>1</v>
      </c>
      <c r="D378" t="s">
        <v>33</v>
      </c>
      <c r="E378" t="str">
        <f>"0160815"</f>
        <v>0160815</v>
      </c>
      <c r="F378" t="s">
        <v>96</v>
      </c>
      <c r="G378" t="str">
        <f>"1"</f>
        <v>1</v>
      </c>
      <c r="H378" t="str">
        <f>"55"</f>
        <v>55</v>
      </c>
      <c r="I378" t="s">
        <v>52</v>
      </c>
      <c r="J378" t="str">
        <f>"3101"</f>
        <v>3101</v>
      </c>
      <c r="K378" t="str">
        <f>"06"</f>
        <v>06</v>
      </c>
      <c r="L378" s="3">
        <v>11.92</v>
      </c>
      <c r="M378" s="5">
        <v>11.92</v>
      </c>
      <c r="N378" s="7">
        <v>11.92</v>
      </c>
      <c r="O378" s="3">
        <v>0</v>
      </c>
      <c r="P378" s="7">
        <v>0</v>
      </c>
      <c r="Q378" s="7">
        <v>0</v>
      </c>
      <c r="R378" s="7">
        <v>0</v>
      </c>
      <c r="S378" s="7">
        <v>0</v>
      </c>
      <c r="T378" s="7">
        <v>11.92</v>
      </c>
      <c r="U378" s="3">
        <v>0</v>
      </c>
      <c r="V378" s="7">
        <v>0</v>
      </c>
      <c r="W378" s="7">
        <v>0</v>
      </c>
      <c r="X378" s="3">
        <v>0</v>
      </c>
      <c r="Y378" s="7">
        <v>0</v>
      </c>
    </row>
    <row r="379" spans="1:25" x14ac:dyDescent="0.25">
      <c r="A379" t="s">
        <v>25</v>
      </c>
      <c r="B379" t="s">
        <v>97</v>
      </c>
      <c r="C379" t="str">
        <f t="shared" si="84"/>
        <v>1</v>
      </c>
      <c r="D379" t="str">
        <f t="shared" ref="D379:D384" si="94">"5"</f>
        <v>5</v>
      </c>
      <c r="E379" t="str">
        <f>"0076336"</f>
        <v>0076336</v>
      </c>
      <c r="F379" t="s">
        <v>98</v>
      </c>
      <c r="G379" t="str">
        <f>"12704"</f>
        <v>12704</v>
      </c>
      <c r="H379" t="str">
        <f>"01"</f>
        <v>01</v>
      </c>
      <c r="I379" t="s">
        <v>99</v>
      </c>
      <c r="J379" t="str">
        <f>"5101"</f>
        <v>5101</v>
      </c>
      <c r="K379" t="str">
        <f>"01"</f>
        <v>01</v>
      </c>
      <c r="L379" s="3">
        <v>0</v>
      </c>
      <c r="M379" s="5">
        <v>4</v>
      </c>
      <c r="N379" s="7">
        <v>4</v>
      </c>
      <c r="O379" s="3">
        <v>0</v>
      </c>
      <c r="P379" s="7">
        <v>7.0000000000000007E-2</v>
      </c>
      <c r="Q379" s="7">
        <v>0</v>
      </c>
      <c r="R379" s="7">
        <v>0</v>
      </c>
      <c r="S379" s="7">
        <v>0</v>
      </c>
      <c r="T379" s="7">
        <v>4</v>
      </c>
      <c r="U379" s="3">
        <v>0</v>
      </c>
      <c r="V379" s="7">
        <v>0.3</v>
      </c>
      <c r="W379" s="7">
        <v>0</v>
      </c>
      <c r="X379" s="3">
        <v>0</v>
      </c>
      <c r="Y379" s="7">
        <v>0</v>
      </c>
    </row>
    <row r="380" spans="1:25" x14ac:dyDescent="0.25">
      <c r="A380" t="s">
        <v>25</v>
      </c>
      <c r="B380" t="s">
        <v>97</v>
      </c>
      <c r="C380" t="str">
        <f t="shared" si="84"/>
        <v>1</v>
      </c>
      <c r="D380" t="str">
        <f t="shared" si="94"/>
        <v>5</v>
      </c>
      <c r="E380" t="str">
        <f>"0076340"</f>
        <v>0076340</v>
      </c>
      <c r="F380" t="s">
        <v>98</v>
      </c>
      <c r="G380" t="str">
        <f>"12704"</f>
        <v>12704</v>
      </c>
      <c r="H380" t="str">
        <f>"01"</f>
        <v>01</v>
      </c>
      <c r="I380" t="s">
        <v>99</v>
      </c>
      <c r="J380" t="str">
        <f>"5101"</f>
        <v>5101</v>
      </c>
      <c r="K380" t="str">
        <f>"01"</f>
        <v>01</v>
      </c>
      <c r="L380" s="3">
        <v>0</v>
      </c>
      <c r="M380" s="5">
        <v>4</v>
      </c>
      <c r="N380" s="7">
        <v>4</v>
      </c>
      <c r="O380" s="3">
        <v>0</v>
      </c>
      <c r="P380" s="7">
        <v>7.0000000000000007E-2</v>
      </c>
      <c r="Q380" s="7">
        <v>0</v>
      </c>
      <c r="R380" s="7">
        <v>0</v>
      </c>
      <c r="S380" s="7">
        <v>0</v>
      </c>
      <c r="T380" s="7">
        <v>4</v>
      </c>
      <c r="U380" s="3">
        <v>0</v>
      </c>
      <c r="V380" s="7">
        <v>0.3</v>
      </c>
      <c r="W380" s="7">
        <v>0</v>
      </c>
      <c r="X380" s="3">
        <v>0</v>
      </c>
      <c r="Y380" s="7">
        <v>0</v>
      </c>
    </row>
    <row r="381" spans="1:25" x14ac:dyDescent="0.25">
      <c r="A381" t="s">
        <v>25</v>
      </c>
      <c r="B381" t="s">
        <v>97</v>
      </c>
      <c r="C381" t="str">
        <f t="shared" si="84"/>
        <v>1</v>
      </c>
      <c r="D381" t="str">
        <f t="shared" si="94"/>
        <v>5</v>
      </c>
      <c r="E381" t="str">
        <f>"1032014"</f>
        <v>1032014</v>
      </c>
      <c r="F381" t="str">
        <f>"51107"</f>
        <v>51107</v>
      </c>
      <c r="G381" t="str">
        <f>"18"</f>
        <v>18</v>
      </c>
      <c r="H381" t="str">
        <f>"07"</f>
        <v>07</v>
      </c>
      <c r="I381" t="s">
        <v>45</v>
      </c>
      <c r="J381" t="str">
        <f>"5101"</f>
        <v>5101</v>
      </c>
      <c r="K381" t="str">
        <f>"99"</f>
        <v>99</v>
      </c>
      <c r="L381" s="3">
        <v>5000</v>
      </c>
      <c r="M381" s="5">
        <v>5000</v>
      </c>
      <c r="N381" s="7">
        <v>0</v>
      </c>
      <c r="O381" s="3">
        <v>1.65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3">
        <v>7.6</v>
      </c>
      <c r="V381" s="7">
        <v>0</v>
      </c>
      <c r="W381" s="7">
        <v>0</v>
      </c>
      <c r="X381" s="3">
        <v>0</v>
      </c>
      <c r="Y381" s="7">
        <v>0</v>
      </c>
    </row>
    <row r="382" spans="1:25" x14ac:dyDescent="0.25">
      <c r="A382" t="s">
        <v>25</v>
      </c>
      <c r="B382" t="s">
        <v>97</v>
      </c>
      <c r="C382" t="str">
        <f>"10000"</f>
        <v>10000</v>
      </c>
      <c r="D382" t="str">
        <f t="shared" si="94"/>
        <v>5</v>
      </c>
      <c r="E382" t="str">
        <f>"0000010"</f>
        <v>0000010</v>
      </c>
      <c r="F382" t="s">
        <v>100</v>
      </c>
      <c r="G382" t="str">
        <f>"9179"</f>
        <v>9179</v>
      </c>
      <c r="H382" t="str">
        <f t="shared" ref="H382:H388" si="95">"01"</f>
        <v>01</v>
      </c>
      <c r="I382" t="s">
        <v>84</v>
      </c>
      <c r="J382" t="str">
        <f>"5101"</f>
        <v>5101</v>
      </c>
      <c r="K382" t="str">
        <f>"01"</f>
        <v>01</v>
      </c>
      <c r="L382" s="3">
        <v>1342.08</v>
      </c>
      <c r="M382" s="5">
        <v>0</v>
      </c>
      <c r="N382" s="7">
        <v>1342.08</v>
      </c>
      <c r="O382" s="3">
        <v>0</v>
      </c>
      <c r="P382" s="7">
        <v>22.14</v>
      </c>
      <c r="Q382" s="7">
        <v>0</v>
      </c>
      <c r="R382" s="7">
        <v>0</v>
      </c>
      <c r="S382" s="7">
        <v>0</v>
      </c>
      <c r="T382" s="7">
        <v>1342.08</v>
      </c>
      <c r="U382" s="3">
        <v>0</v>
      </c>
      <c r="V382" s="7">
        <v>102</v>
      </c>
      <c r="W382" s="7">
        <v>0</v>
      </c>
      <c r="X382" s="3">
        <v>0</v>
      </c>
      <c r="Y382" s="7">
        <v>0</v>
      </c>
    </row>
    <row r="383" spans="1:25" x14ac:dyDescent="0.25">
      <c r="A383" t="s">
        <v>25</v>
      </c>
      <c r="B383" t="s">
        <v>97</v>
      </c>
      <c r="C383" t="str">
        <f>"10000"</f>
        <v>10000</v>
      </c>
      <c r="D383" t="str">
        <f t="shared" si="94"/>
        <v>5</v>
      </c>
      <c r="E383" t="str">
        <f>"0000011"</f>
        <v>0000011</v>
      </c>
      <c r="F383" t="s">
        <v>100</v>
      </c>
      <c r="G383" t="str">
        <f>"9179"</f>
        <v>9179</v>
      </c>
      <c r="H383" t="str">
        <f t="shared" si="95"/>
        <v>01</v>
      </c>
      <c r="I383" t="s">
        <v>56</v>
      </c>
      <c r="J383" t="str">
        <f>"5101"</f>
        <v>5101</v>
      </c>
      <c r="K383" t="str">
        <f>"01"</f>
        <v>01</v>
      </c>
      <c r="L383" s="3">
        <v>1127.5</v>
      </c>
      <c r="M383" s="5">
        <v>0</v>
      </c>
      <c r="N383" s="7">
        <v>1127.5</v>
      </c>
      <c r="O383" s="3">
        <v>0</v>
      </c>
      <c r="P383" s="7">
        <v>18.600000000000001</v>
      </c>
      <c r="Q383" s="7">
        <v>0</v>
      </c>
      <c r="R383" s="7">
        <v>0</v>
      </c>
      <c r="S383" s="7">
        <v>0</v>
      </c>
      <c r="T383" s="7">
        <v>1127.5</v>
      </c>
      <c r="U383" s="3">
        <v>0</v>
      </c>
      <c r="V383" s="7">
        <v>85.69</v>
      </c>
      <c r="W383" s="7">
        <v>0</v>
      </c>
      <c r="X383" s="3">
        <v>0</v>
      </c>
      <c r="Y383" s="7">
        <v>0</v>
      </c>
    </row>
    <row r="384" spans="1:25" x14ac:dyDescent="0.25">
      <c r="A384" t="s">
        <v>25</v>
      </c>
      <c r="B384" t="s">
        <v>97</v>
      </c>
      <c r="C384" t="str">
        <f t="shared" ref="C384:C415" si="96">"1"</f>
        <v>1</v>
      </c>
      <c r="D384" t="str">
        <f t="shared" si="94"/>
        <v>5</v>
      </c>
      <c r="E384" t="str">
        <f>"0076185"</f>
        <v>0076185</v>
      </c>
      <c r="F384" t="s">
        <v>101</v>
      </c>
      <c r="G384" t="str">
        <f>"12704"</f>
        <v>12704</v>
      </c>
      <c r="H384" t="str">
        <f t="shared" si="95"/>
        <v>01</v>
      </c>
      <c r="I384" t="s">
        <v>55</v>
      </c>
      <c r="J384" t="str">
        <f>"5201"</f>
        <v>5201</v>
      </c>
      <c r="K384" t="str">
        <f>"07"</f>
        <v>07</v>
      </c>
      <c r="L384" s="3">
        <v>10</v>
      </c>
      <c r="M384" s="5">
        <v>10</v>
      </c>
      <c r="N384" s="7">
        <v>0</v>
      </c>
      <c r="O384" s="3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3">
        <v>0</v>
      </c>
      <c r="V384" s="7">
        <v>0</v>
      </c>
      <c r="W384" s="7">
        <v>0</v>
      </c>
      <c r="X384" s="3">
        <v>0</v>
      </c>
      <c r="Y384" s="7">
        <v>0</v>
      </c>
    </row>
    <row r="385" spans="1:25" x14ac:dyDescent="0.25">
      <c r="A385" t="s">
        <v>25</v>
      </c>
      <c r="B385" t="s">
        <v>97</v>
      </c>
      <c r="C385" t="str">
        <f t="shared" si="96"/>
        <v>1</v>
      </c>
      <c r="D385" t="s">
        <v>33</v>
      </c>
      <c r="E385" t="str">
        <f>"0000011"</f>
        <v>0000011</v>
      </c>
      <c r="F385" t="s">
        <v>102</v>
      </c>
      <c r="G385" t="str">
        <f>"1"</f>
        <v>1</v>
      </c>
      <c r="H385" t="str">
        <f t="shared" si="95"/>
        <v>01</v>
      </c>
      <c r="I385" t="s">
        <v>75</v>
      </c>
      <c r="J385" t="str">
        <f t="shared" ref="J385:J400" si="97">"6101"</f>
        <v>6101</v>
      </c>
      <c r="K385" t="str">
        <f>"02"</f>
        <v>02</v>
      </c>
      <c r="L385" s="3">
        <v>916.7</v>
      </c>
      <c r="M385" s="5">
        <v>916.7</v>
      </c>
      <c r="N385" s="7">
        <v>916.7</v>
      </c>
      <c r="O385" s="3">
        <v>0</v>
      </c>
      <c r="P385" s="7">
        <v>15.13</v>
      </c>
      <c r="Q385" s="7">
        <v>0</v>
      </c>
      <c r="R385" s="7">
        <v>0</v>
      </c>
      <c r="S385" s="7">
        <v>0</v>
      </c>
      <c r="T385" s="7">
        <v>916.7</v>
      </c>
      <c r="U385" s="3">
        <v>0</v>
      </c>
      <c r="V385" s="7">
        <v>69.67</v>
      </c>
      <c r="W385" s="7">
        <v>0</v>
      </c>
      <c r="X385" s="3">
        <v>0</v>
      </c>
      <c r="Y385" s="7">
        <v>0</v>
      </c>
    </row>
    <row r="386" spans="1:25" x14ac:dyDescent="0.25">
      <c r="A386" t="s">
        <v>25</v>
      </c>
      <c r="B386" t="s">
        <v>97</v>
      </c>
      <c r="C386" t="str">
        <f t="shared" si="96"/>
        <v>1</v>
      </c>
      <c r="D386" t="s">
        <v>33</v>
      </c>
      <c r="E386" t="str">
        <f>"0000011"</f>
        <v>0000011</v>
      </c>
      <c r="F386" t="s">
        <v>102</v>
      </c>
      <c r="G386" t="str">
        <f>"1"</f>
        <v>1</v>
      </c>
      <c r="H386" t="str">
        <f t="shared" si="95"/>
        <v>01</v>
      </c>
      <c r="I386" t="s">
        <v>89</v>
      </c>
      <c r="J386" t="str">
        <f t="shared" si="97"/>
        <v>6101</v>
      </c>
      <c r="K386" t="str">
        <f>"01"</f>
        <v>01</v>
      </c>
      <c r="L386" s="3">
        <v>550.02</v>
      </c>
      <c r="M386" s="5">
        <v>550.02</v>
      </c>
      <c r="N386" s="7">
        <v>550.02</v>
      </c>
      <c r="O386" s="3">
        <v>0</v>
      </c>
      <c r="P386" s="7">
        <v>9.08</v>
      </c>
      <c r="Q386" s="7">
        <v>0</v>
      </c>
      <c r="R386" s="7">
        <v>0</v>
      </c>
      <c r="S386" s="7">
        <v>0</v>
      </c>
      <c r="T386" s="7">
        <v>550.02</v>
      </c>
      <c r="U386" s="3">
        <v>0</v>
      </c>
      <c r="V386" s="7">
        <v>41.8</v>
      </c>
      <c r="W386" s="7">
        <v>0</v>
      </c>
      <c r="X386" s="3">
        <v>0</v>
      </c>
      <c r="Y386" s="7">
        <v>0</v>
      </c>
    </row>
    <row r="387" spans="1:25" x14ac:dyDescent="0.25">
      <c r="A387" t="s">
        <v>25</v>
      </c>
      <c r="B387" t="s">
        <v>97</v>
      </c>
      <c r="C387" t="str">
        <f t="shared" si="96"/>
        <v>1</v>
      </c>
      <c r="D387" t="s">
        <v>33</v>
      </c>
      <c r="E387" t="str">
        <f>"0000012"</f>
        <v>0000012</v>
      </c>
      <c r="F387" t="s">
        <v>102</v>
      </c>
      <c r="G387" t="str">
        <f>"1"</f>
        <v>1</v>
      </c>
      <c r="H387" t="str">
        <f t="shared" si="95"/>
        <v>01</v>
      </c>
      <c r="I387" t="s">
        <v>89</v>
      </c>
      <c r="J387" t="str">
        <f t="shared" si="97"/>
        <v>6101</v>
      </c>
      <c r="K387" t="str">
        <f>"04"</f>
        <v>04</v>
      </c>
      <c r="L387" s="3">
        <v>183.34</v>
      </c>
      <c r="M387" s="5">
        <v>183.34</v>
      </c>
      <c r="N387" s="7">
        <v>183.34</v>
      </c>
      <c r="O387" s="3">
        <v>0</v>
      </c>
      <c r="P387" s="7">
        <v>3.03</v>
      </c>
      <c r="Q387" s="7">
        <v>0</v>
      </c>
      <c r="R387" s="7">
        <v>0</v>
      </c>
      <c r="S387" s="7">
        <v>0</v>
      </c>
      <c r="T387" s="7">
        <v>0</v>
      </c>
      <c r="U387" s="3">
        <v>0</v>
      </c>
      <c r="V387" s="7">
        <v>13.93</v>
      </c>
      <c r="W387" s="7">
        <v>0</v>
      </c>
      <c r="X387" s="3">
        <v>0</v>
      </c>
      <c r="Y387" s="7">
        <v>0</v>
      </c>
    </row>
    <row r="388" spans="1:25" x14ac:dyDescent="0.25">
      <c r="A388" t="s">
        <v>25</v>
      </c>
      <c r="B388" t="s">
        <v>97</v>
      </c>
      <c r="C388" t="str">
        <f t="shared" si="96"/>
        <v>1</v>
      </c>
      <c r="D388" t="s">
        <v>33</v>
      </c>
      <c r="E388" t="str">
        <f>"0000012"</f>
        <v>0000012</v>
      </c>
      <c r="F388" t="s">
        <v>102</v>
      </c>
      <c r="G388" t="str">
        <f>"1"</f>
        <v>1</v>
      </c>
      <c r="H388" t="str">
        <f t="shared" si="95"/>
        <v>01</v>
      </c>
      <c r="I388" t="s">
        <v>75</v>
      </c>
      <c r="J388" t="str">
        <f t="shared" si="97"/>
        <v>6101</v>
      </c>
      <c r="K388" t="str">
        <f>"01"</f>
        <v>01</v>
      </c>
      <c r="L388" s="3">
        <v>916.7</v>
      </c>
      <c r="M388" s="5">
        <v>916.7</v>
      </c>
      <c r="N388" s="7">
        <v>916.7</v>
      </c>
      <c r="O388" s="3">
        <v>0</v>
      </c>
      <c r="P388" s="7">
        <v>15.13</v>
      </c>
      <c r="Q388" s="7">
        <v>0</v>
      </c>
      <c r="R388" s="7">
        <v>0</v>
      </c>
      <c r="S388" s="7">
        <v>0</v>
      </c>
      <c r="T388" s="7">
        <v>916.7</v>
      </c>
      <c r="U388" s="3">
        <v>0</v>
      </c>
      <c r="V388" s="7">
        <v>69.67</v>
      </c>
      <c r="W388" s="7">
        <v>0</v>
      </c>
      <c r="X388" s="3">
        <v>0</v>
      </c>
      <c r="Y388" s="7">
        <v>0</v>
      </c>
    </row>
    <row r="389" spans="1:25" x14ac:dyDescent="0.25">
      <c r="A389" t="s">
        <v>25</v>
      </c>
      <c r="B389" t="s">
        <v>97</v>
      </c>
      <c r="C389" t="str">
        <f t="shared" si="96"/>
        <v>1</v>
      </c>
      <c r="D389" t="str">
        <f>"5"</f>
        <v>5</v>
      </c>
      <c r="E389" t="str">
        <f>"0071101"</f>
        <v>0071101</v>
      </c>
      <c r="F389" t="str">
        <f>"610110"</f>
        <v>610110</v>
      </c>
      <c r="G389" t="str">
        <f>"13"</f>
        <v>13</v>
      </c>
      <c r="H389" t="str">
        <f>"55"</f>
        <v>55</v>
      </c>
      <c r="I389" t="s">
        <v>67</v>
      </c>
      <c r="J389" t="str">
        <f t="shared" si="97"/>
        <v>6101</v>
      </c>
      <c r="K389" t="str">
        <f>"99"</f>
        <v>99</v>
      </c>
      <c r="L389" s="3">
        <v>1100</v>
      </c>
      <c r="M389" s="5">
        <v>1000</v>
      </c>
      <c r="N389" s="7">
        <v>0</v>
      </c>
      <c r="O389" s="3">
        <v>1.65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  <c r="U389" s="3">
        <v>7.6</v>
      </c>
      <c r="V389" s="7">
        <v>0</v>
      </c>
      <c r="W389" s="7">
        <v>0</v>
      </c>
      <c r="X389" s="3">
        <v>0</v>
      </c>
      <c r="Y389" s="7">
        <v>0</v>
      </c>
    </row>
    <row r="390" spans="1:25" x14ac:dyDescent="0.25">
      <c r="A390" t="s">
        <v>25</v>
      </c>
      <c r="B390" t="s">
        <v>97</v>
      </c>
      <c r="C390" t="str">
        <f t="shared" si="96"/>
        <v>1</v>
      </c>
      <c r="D390" t="str">
        <f>"5"</f>
        <v>5</v>
      </c>
      <c r="E390" t="str">
        <f>"0076195"</f>
        <v>0076195</v>
      </c>
      <c r="F390" t="s">
        <v>103</v>
      </c>
      <c r="G390" t="str">
        <f>"70"</f>
        <v>70</v>
      </c>
      <c r="H390" t="str">
        <f>"01"</f>
        <v>01</v>
      </c>
      <c r="I390" t="s">
        <v>104</v>
      </c>
      <c r="J390" t="str">
        <f t="shared" si="97"/>
        <v>6101</v>
      </c>
      <c r="K390" t="str">
        <f t="shared" ref="K390:K395" si="98">"01"</f>
        <v>01</v>
      </c>
      <c r="L390" s="3">
        <v>109.08</v>
      </c>
      <c r="M390" s="5">
        <v>101</v>
      </c>
      <c r="N390" s="7">
        <v>101</v>
      </c>
      <c r="O390" s="3">
        <v>0</v>
      </c>
      <c r="P390" s="7">
        <v>1.67</v>
      </c>
      <c r="Q390" s="7">
        <v>0</v>
      </c>
      <c r="R390" s="7">
        <v>0</v>
      </c>
      <c r="S390" s="7">
        <v>0</v>
      </c>
      <c r="T390" s="7">
        <v>101</v>
      </c>
      <c r="U390" s="3">
        <v>0</v>
      </c>
      <c r="V390" s="7">
        <v>7.68</v>
      </c>
      <c r="W390" s="7">
        <v>0</v>
      </c>
      <c r="X390" s="3">
        <v>0</v>
      </c>
      <c r="Y390" s="7">
        <v>0</v>
      </c>
    </row>
    <row r="391" spans="1:25" x14ac:dyDescent="0.25">
      <c r="A391" t="s">
        <v>25</v>
      </c>
      <c r="B391" t="s">
        <v>97</v>
      </c>
      <c r="C391" t="str">
        <f t="shared" si="96"/>
        <v>1</v>
      </c>
      <c r="D391" t="str">
        <f>"11"</f>
        <v>11</v>
      </c>
      <c r="E391" t="str">
        <f>"0290836"</f>
        <v>0290836</v>
      </c>
      <c r="F391" t="s">
        <v>102</v>
      </c>
      <c r="G391" t="str">
        <f>"70"</f>
        <v>70</v>
      </c>
      <c r="H391" t="str">
        <f>"55"</f>
        <v>55</v>
      </c>
      <c r="I391" t="s">
        <v>105</v>
      </c>
      <c r="J391" t="str">
        <f t="shared" si="97"/>
        <v>6101</v>
      </c>
      <c r="K391" t="str">
        <f t="shared" si="98"/>
        <v>01</v>
      </c>
      <c r="L391" s="3">
        <v>110</v>
      </c>
      <c r="M391" s="5">
        <v>100</v>
      </c>
      <c r="N391" s="7">
        <v>100</v>
      </c>
      <c r="O391" s="3">
        <v>0</v>
      </c>
      <c r="P391" s="7">
        <v>1.65</v>
      </c>
      <c r="Q391" s="7">
        <v>0</v>
      </c>
      <c r="R391" s="7">
        <v>0</v>
      </c>
      <c r="S391" s="7">
        <v>0</v>
      </c>
      <c r="T391" s="7">
        <v>100</v>
      </c>
      <c r="U391" s="3">
        <v>0</v>
      </c>
      <c r="V391" s="7">
        <v>7.6</v>
      </c>
      <c r="W391" s="7">
        <v>0</v>
      </c>
      <c r="X391" s="3">
        <v>0</v>
      </c>
      <c r="Y391" s="7">
        <v>0</v>
      </c>
    </row>
    <row r="392" spans="1:25" x14ac:dyDescent="0.25">
      <c r="A392" t="s">
        <v>25</v>
      </c>
      <c r="B392" t="s">
        <v>97</v>
      </c>
      <c r="C392" t="str">
        <f t="shared" si="96"/>
        <v>1</v>
      </c>
      <c r="D392" t="str">
        <f>"11"</f>
        <v>11</v>
      </c>
      <c r="E392" t="str">
        <f>"0290837"</f>
        <v>0290837</v>
      </c>
      <c r="F392" t="s">
        <v>102</v>
      </c>
      <c r="G392" t="str">
        <f>"70"</f>
        <v>70</v>
      </c>
      <c r="H392" t="str">
        <f>"55"</f>
        <v>55</v>
      </c>
      <c r="I392" t="s">
        <v>105</v>
      </c>
      <c r="J392" t="str">
        <f t="shared" si="97"/>
        <v>6101</v>
      </c>
      <c r="K392" t="str">
        <f t="shared" si="98"/>
        <v>01</v>
      </c>
      <c r="L392" s="3">
        <v>132</v>
      </c>
      <c r="M392" s="5">
        <v>120</v>
      </c>
      <c r="N392" s="7">
        <v>120</v>
      </c>
      <c r="O392" s="3">
        <v>0</v>
      </c>
      <c r="P392" s="7">
        <v>1.98</v>
      </c>
      <c r="Q392" s="7">
        <v>0</v>
      </c>
      <c r="R392" s="7">
        <v>0</v>
      </c>
      <c r="S392" s="7">
        <v>0</v>
      </c>
      <c r="T392" s="7">
        <v>120</v>
      </c>
      <c r="U392" s="3">
        <v>0</v>
      </c>
      <c r="V392" s="7">
        <v>9.1199999999999992</v>
      </c>
      <c r="W392" s="7">
        <v>0</v>
      </c>
      <c r="X392" s="3">
        <v>0</v>
      </c>
      <c r="Y392" s="7">
        <v>0</v>
      </c>
    </row>
    <row r="393" spans="1:25" x14ac:dyDescent="0.25">
      <c r="A393" t="s">
        <v>25</v>
      </c>
      <c r="B393" t="s">
        <v>97</v>
      </c>
      <c r="C393" t="str">
        <f t="shared" si="96"/>
        <v>1</v>
      </c>
      <c r="D393" t="str">
        <f>"11"</f>
        <v>11</v>
      </c>
      <c r="E393" t="str">
        <f>"0290846"</f>
        <v>0290846</v>
      </c>
      <c r="F393" t="s">
        <v>102</v>
      </c>
      <c r="G393" t="str">
        <f>"70"</f>
        <v>70</v>
      </c>
      <c r="H393" t="str">
        <f>"55"</f>
        <v>55</v>
      </c>
      <c r="I393" t="s">
        <v>105</v>
      </c>
      <c r="J393" t="str">
        <f t="shared" si="97"/>
        <v>6101</v>
      </c>
      <c r="K393" t="str">
        <f t="shared" si="98"/>
        <v>01</v>
      </c>
      <c r="L393" s="3">
        <v>1100</v>
      </c>
      <c r="M393" s="5">
        <v>1000</v>
      </c>
      <c r="N393" s="7">
        <v>1000</v>
      </c>
      <c r="O393" s="3">
        <v>1.65</v>
      </c>
      <c r="P393" s="7">
        <v>16.5</v>
      </c>
      <c r="Q393" s="7">
        <v>0</v>
      </c>
      <c r="R393" s="7">
        <v>0</v>
      </c>
      <c r="S393" s="7">
        <v>0</v>
      </c>
      <c r="T393" s="7">
        <v>1000</v>
      </c>
      <c r="U393" s="3">
        <v>7.6</v>
      </c>
      <c r="V393" s="7">
        <v>76</v>
      </c>
      <c r="W393" s="7">
        <v>0</v>
      </c>
      <c r="X393" s="3">
        <v>0</v>
      </c>
      <c r="Y393" s="7">
        <v>0</v>
      </c>
    </row>
    <row r="394" spans="1:25" x14ac:dyDescent="0.25">
      <c r="A394" t="s">
        <v>25</v>
      </c>
      <c r="B394" t="s">
        <v>97</v>
      </c>
      <c r="C394" t="str">
        <f t="shared" si="96"/>
        <v>1</v>
      </c>
      <c r="D394" t="str">
        <f>"11"</f>
        <v>11</v>
      </c>
      <c r="E394" t="str">
        <f>"0290850"</f>
        <v>0290850</v>
      </c>
      <c r="F394" t="str">
        <f>"6111"</f>
        <v>6111</v>
      </c>
      <c r="G394" t="str">
        <f>"13"</f>
        <v>13</v>
      </c>
      <c r="H394" t="str">
        <f>"01"</f>
        <v>01</v>
      </c>
      <c r="I394" t="s">
        <v>34</v>
      </c>
      <c r="J394" t="str">
        <f t="shared" si="97"/>
        <v>6101</v>
      </c>
      <c r="K394" t="str">
        <f t="shared" si="98"/>
        <v>01</v>
      </c>
      <c r="L394" s="3">
        <v>1878.16</v>
      </c>
      <c r="M394" s="5">
        <v>1000</v>
      </c>
      <c r="N394" s="7">
        <v>1788.72</v>
      </c>
      <c r="O394" s="3">
        <v>1.65</v>
      </c>
      <c r="P394" s="7">
        <v>29.51</v>
      </c>
      <c r="Q394" s="7">
        <v>0</v>
      </c>
      <c r="R394" s="7">
        <v>0</v>
      </c>
      <c r="S394" s="7">
        <v>0</v>
      </c>
      <c r="T394" s="7">
        <v>1788.72</v>
      </c>
      <c r="U394" s="3">
        <v>7.6</v>
      </c>
      <c r="V394" s="7">
        <v>135.94</v>
      </c>
      <c r="W394" s="7">
        <v>0</v>
      </c>
      <c r="X394" s="3">
        <v>0</v>
      </c>
      <c r="Y394" s="7">
        <v>0</v>
      </c>
    </row>
    <row r="395" spans="1:25" x14ac:dyDescent="0.25">
      <c r="A395" t="s">
        <v>25</v>
      </c>
      <c r="B395" t="s">
        <v>97</v>
      </c>
      <c r="C395" t="str">
        <f t="shared" si="96"/>
        <v>1</v>
      </c>
      <c r="D395" t="str">
        <f>"11"</f>
        <v>11</v>
      </c>
      <c r="E395" t="str">
        <f>"0290857"</f>
        <v>0290857</v>
      </c>
      <c r="F395" t="str">
        <f>"6101"</f>
        <v>6101</v>
      </c>
      <c r="G395" t="str">
        <f>"13"</f>
        <v>13</v>
      </c>
      <c r="H395" t="str">
        <f>"01"</f>
        <v>01</v>
      </c>
      <c r="I395" t="s">
        <v>75</v>
      </c>
      <c r="J395" t="str">
        <f t="shared" si="97"/>
        <v>6101</v>
      </c>
      <c r="K395" t="str">
        <f t="shared" si="98"/>
        <v>01</v>
      </c>
      <c r="L395" s="3">
        <v>260.95</v>
      </c>
      <c r="M395" s="5">
        <v>200</v>
      </c>
      <c r="N395" s="7">
        <v>260.95</v>
      </c>
      <c r="O395" s="3">
        <v>1.65</v>
      </c>
      <c r="P395" s="7">
        <v>4.3099999999999996</v>
      </c>
      <c r="Q395" s="7">
        <v>0</v>
      </c>
      <c r="R395" s="7">
        <v>0</v>
      </c>
      <c r="S395" s="7">
        <v>0</v>
      </c>
      <c r="T395" s="7">
        <v>260.95</v>
      </c>
      <c r="U395" s="3">
        <v>7.6</v>
      </c>
      <c r="V395" s="7">
        <v>19.829999999999998</v>
      </c>
      <c r="W395" s="7">
        <v>0</v>
      </c>
      <c r="X395" s="3">
        <v>0</v>
      </c>
      <c r="Y395" s="7">
        <v>0</v>
      </c>
    </row>
    <row r="396" spans="1:25" x14ac:dyDescent="0.25">
      <c r="A396" t="s">
        <v>25</v>
      </c>
      <c r="B396" t="s">
        <v>97</v>
      </c>
      <c r="C396" t="str">
        <f t="shared" si="96"/>
        <v>1</v>
      </c>
      <c r="D396" t="str">
        <f>"5"</f>
        <v>5</v>
      </c>
      <c r="E396" t="str">
        <f>"20161101"</f>
        <v>20161101</v>
      </c>
      <c r="F396" t="s">
        <v>106</v>
      </c>
      <c r="G396" t="str">
        <f>"13"</f>
        <v>13</v>
      </c>
      <c r="H396" t="str">
        <f>"01"</f>
        <v>01</v>
      </c>
      <c r="I396" t="s">
        <v>77</v>
      </c>
      <c r="J396" t="str">
        <f t="shared" si="97"/>
        <v>6101</v>
      </c>
      <c r="K396" t="str">
        <f>"05"</f>
        <v>05</v>
      </c>
      <c r="L396" s="3">
        <v>11700</v>
      </c>
      <c r="M396" s="5">
        <v>10000</v>
      </c>
      <c r="N396" s="7">
        <v>0</v>
      </c>
      <c r="O396" s="3">
        <v>0</v>
      </c>
      <c r="P396" s="7">
        <v>0</v>
      </c>
      <c r="Q396" s="7">
        <v>10000</v>
      </c>
      <c r="R396" s="7">
        <v>1.65</v>
      </c>
      <c r="S396" s="7">
        <v>165</v>
      </c>
      <c r="T396" s="7">
        <v>0</v>
      </c>
      <c r="U396" s="3">
        <v>0</v>
      </c>
      <c r="V396" s="7">
        <v>0</v>
      </c>
      <c r="W396" s="7">
        <v>10000</v>
      </c>
      <c r="X396" s="3">
        <v>7.6</v>
      </c>
      <c r="Y396" s="7">
        <v>760</v>
      </c>
    </row>
    <row r="397" spans="1:25" x14ac:dyDescent="0.25">
      <c r="A397" t="s">
        <v>25</v>
      </c>
      <c r="B397" t="s">
        <v>97</v>
      </c>
      <c r="C397" t="str">
        <f t="shared" si="96"/>
        <v>1</v>
      </c>
      <c r="D397" t="str">
        <f>"5"</f>
        <v>5</v>
      </c>
      <c r="E397" t="str">
        <f>"20161102"</f>
        <v>20161102</v>
      </c>
      <c r="F397" t="s">
        <v>106</v>
      </c>
      <c r="G397" t="str">
        <f>"57"</f>
        <v>57</v>
      </c>
      <c r="H397" t="str">
        <f>"01"</f>
        <v>01</v>
      </c>
      <c r="I397" t="s">
        <v>34</v>
      </c>
      <c r="J397" t="str">
        <f t="shared" si="97"/>
        <v>6101</v>
      </c>
      <c r="K397" t="str">
        <f>"05"</f>
        <v>05</v>
      </c>
      <c r="L397" s="3">
        <v>1120</v>
      </c>
      <c r="M397" s="5">
        <v>1000</v>
      </c>
      <c r="N397" s="7">
        <v>0</v>
      </c>
      <c r="O397" s="3">
        <v>0</v>
      </c>
      <c r="P397" s="7">
        <v>0</v>
      </c>
      <c r="Q397" s="7">
        <v>1000</v>
      </c>
      <c r="R397" s="7">
        <v>1.65</v>
      </c>
      <c r="S397" s="7">
        <v>16.5</v>
      </c>
      <c r="T397" s="7">
        <v>0</v>
      </c>
      <c r="U397" s="3">
        <v>0</v>
      </c>
      <c r="V397" s="7">
        <v>0</v>
      </c>
      <c r="W397" s="7">
        <v>1000</v>
      </c>
      <c r="X397" s="3">
        <v>7.6</v>
      </c>
      <c r="Y397" s="7">
        <v>76</v>
      </c>
    </row>
    <row r="398" spans="1:25" x14ac:dyDescent="0.25">
      <c r="A398" t="s">
        <v>25</v>
      </c>
      <c r="B398" t="s">
        <v>97</v>
      </c>
      <c r="C398" t="str">
        <f t="shared" si="96"/>
        <v>1</v>
      </c>
      <c r="D398" t="str">
        <f>"5"</f>
        <v>5</v>
      </c>
      <c r="E398" t="str">
        <f>"4032014"</f>
        <v>4032014</v>
      </c>
      <c r="F398" t="str">
        <f>"6128"</f>
        <v>6128</v>
      </c>
      <c r="G398" t="str">
        <f>"13"</f>
        <v>13</v>
      </c>
      <c r="H398" t="str">
        <f>"28"</f>
        <v>28</v>
      </c>
      <c r="I398" t="s">
        <v>62</v>
      </c>
      <c r="J398" t="str">
        <f t="shared" si="97"/>
        <v>6101</v>
      </c>
      <c r="K398" t="str">
        <f>"99"</f>
        <v>99</v>
      </c>
      <c r="L398" s="3">
        <v>11000</v>
      </c>
      <c r="M398" s="5">
        <v>10000</v>
      </c>
      <c r="N398" s="7">
        <v>0</v>
      </c>
      <c r="O398" s="3">
        <v>1.65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3">
        <v>7.6</v>
      </c>
      <c r="V398" s="7">
        <v>0</v>
      </c>
      <c r="W398" s="7">
        <v>0</v>
      </c>
      <c r="X398" s="3">
        <v>0</v>
      </c>
      <c r="Y398" s="7">
        <v>0</v>
      </c>
    </row>
    <row r="399" spans="1:25" x14ac:dyDescent="0.25">
      <c r="A399" t="s">
        <v>25</v>
      </c>
      <c r="B399" t="s">
        <v>97</v>
      </c>
      <c r="C399" t="str">
        <f t="shared" si="96"/>
        <v>1</v>
      </c>
      <c r="D399" t="str">
        <f>"5"</f>
        <v>5</v>
      </c>
      <c r="E399" t="str">
        <f>"6032014"</f>
        <v>6032014</v>
      </c>
      <c r="F399" t="str">
        <f>"6127"</f>
        <v>6127</v>
      </c>
      <c r="G399" t="str">
        <f>"13"</f>
        <v>13</v>
      </c>
      <c r="H399" t="str">
        <f>"27"</f>
        <v>27</v>
      </c>
      <c r="I399" t="s">
        <v>34</v>
      </c>
      <c r="J399" t="str">
        <f t="shared" si="97"/>
        <v>6101</v>
      </c>
      <c r="K399" t="str">
        <f>"99"</f>
        <v>99</v>
      </c>
      <c r="L399" s="3">
        <v>5250</v>
      </c>
      <c r="M399" s="5">
        <v>5000</v>
      </c>
      <c r="N399" s="7">
        <v>0</v>
      </c>
      <c r="O399" s="3">
        <v>1.65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  <c r="U399" s="3">
        <v>7.6</v>
      </c>
      <c r="V399" s="7">
        <v>0</v>
      </c>
      <c r="W399" s="7">
        <v>0</v>
      </c>
      <c r="X399" s="3">
        <v>0</v>
      </c>
      <c r="Y399" s="7">
        <v>0</v>
      </c>
    </row>
    <row r="400" spans="1:25" x14ac:dyDescent="0.25">
      <c r="A400" t="s">
        <v>25</v>
      </c>
      <c r="B400" t="s">
        <v>97</v>
      </c>
      <c r="C400" t="str">
        <f t="shared" si="96"/>
        <v>1</v>
      </c>
      <c r="D400" t="str">
        <f>"5"</f>
        <v>5</v>
      </c>
      <c r="E400" t="str">
        <f>"6032014"</f>
        <v>6032014</v>
      </c>
      <c r="F400" t="str">
        <f>"6127"</f>
        <v>6127</v>
      </c>
      <c r="G400" t="str">
        <f>"13"</f>
        <v>13</v>
      </c>
      <c r="H400" t="str">
        <f>"27"</f>
        <v>27</v>
      </c>
      <c r="I400" t="s">
        <v>42</v>
      </c>
      <c r="J400" t="str">
        <f t="shared" si="97"/>
        <v>6101</v>
      </c>
      <c r="K400" t="str">
        <f>"99"</f>
        <v>99</v>
      </c>
      <c r="L400" s="3">
        <v>1050</v>
      </c>
      <c r="M400" s="5">
        <v>1000</v>
      </c>
      <c r="N400" s="7">
        <v>0</v>
      </c>
      <c r="O400" s="3">
        <v>1.65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  <c r="U400" s="3">
        <v>7.6</v>
      </c>
      <c r="V400" s="7">
        <v>0</v>
      </c>
      <c r="W400" s="7">
        <v>0</v>
      </c>
      <c r="X400" s="3">
        <v>0</v>
      </c>
      <c r="Y400" s="7">
        <v>0</v>
      </c>
    </row>
    <row r="401" spans="1:25" x14ac:dyDescent="0.25">
      <c r="A401" t="s">
        <v>25</v>
      </c>
      <c r="B401" t="s">
        <v>97</v>
      </c>
      <c r="C401" t="str">
        <f t="shared" si="96"/>
        <v>1</v>
      </c>
      <c r="D401" t="str">
        <f>"12345"</f>
        <v>12345</v>
      </c>
      <c r="E401" t="str">
        <f>"0000004"</f>
        <v>0000004</v>
      </c>
      <c r="F401" t="str">
        <f t="shared" ref="F401:F407" si="99">"6123"</f>
        <v>6123</v>
      </c>
      <c r="G401" t="str">
        <f t="shared" ref="G401:G407" si="100">"70"</f>
        <v>70</v>
      </c>
      <c r="H401" t="str">
        <f t="shared" ref="H401:H432" si="101">"01"</f>
        <v>01</v>
      </c>
      <c r="I401" t="s">
        <v>107</v>
      </c>
      <c r="J401" t="str">
        <f t="shared" ref="J401:J432" si="102">"6102"</f>
        <v>6102</v>
      </c>
      <c r="K401" t="str">
        <f t="shared" ref="K401:K423" si="103">"01"</f>
        <v>01</v>
      </c>
      <c r="L401" s="3">
        <v>216</v>
      </c>
      <c r="M401" s="5">
        <v>216</v>
      </c>
      <c r="N401" s="7">
        <v>216</v>
      </c>
      <c r="O401" s="3">
        <v>0</v>
      </c>
      <c r="P401" s="7">
        <v>3.56</v>
      </c>
      <c r="Q401" s="7">
        <v>0</v>
      </c>
      <c r="R401" s="7">
        <v>0</v>
      </c>
      <c r="S401" s="7">
        <v>0</v>
      </c>
      <c r="T401" s="7">
        <v>216</v>
      </c>
      <c r="U401" s="3">
        <v>0</v>
      </c>
      <c r="V401" s="7">
        <v>16.420000000000002</v>
      </c>
      <c r="W401" s="7">
        <v>0</v>
      </c>
      <c r="X401" s="3">
        <v>0</v>
      </c>
      <c r="Y401" s="7">
        <v>0</v>
      </c>
    </row>
    <row r="402" spans="1:25" x14ac:dyDescent="0.25">
      <c r="A402" t="s">
        <v>25</v>
      </c>
      <c r="B402" t="s">
        <v>97</v>
      </c>
      <c r="C402" t="str">
        <f t="shared" si="96"/>
        <v>1</v>
      </c>
      <c r="D402" t="str">
        <f>"12345"</f>
        <v>12345</v>
      </c>
      <c r="E402" t="str">
        <f>"0000004"</f>
        <v>0000004</v>
      </c>
      <c r="F402" t="str">
        <f t="shared" si="99"/>
        <v>6123</v>
      </c>
      <c r="G402" t="str">
        <f t="shared" si="100"/>
        <v>70</v>
      </c>
      <c r="H402" t="str">
        <f t="shared" si="101"/>
        <v>01</v>
      </c>
      <c r="I402" t="s">
        <v>56</v>
      </c>
      <c r="J402" t="str">
        <f t="shared" si="102"/>
        <v>6102</v>
      </c>
      <c r="K402" t="str">
        <f t="shared" si="103"/>
        <v>01</v>
      </c>
      <c r="L402" s="3">
        <v>105</v>
      </c>
      <c r="M402" s="5">
        <v>105</v>
      </c>
      <c r="N402" s="7">
        <v>105</v>
      </c>
      <c r="O402" s="3">
        <v>0</v>
      </c>
      <c r="P402" s="7">
        <v>1.73</v>
      </c>
      <c r="Q402" s="7">
        <v>0</v>
      </c>
      <c r="R402" s="7">
        <v>0</v>
      </c>
      <c r="S402" s="7">
        <v>0</v>
      </c>
      <c r="T402" s="7">
        <v>105</v>
      </c>
      <c r="U402" s="3">
        <v>0</v>
      </c>
      <c r="V402" s="7">
        <v>7.98</v>
      </c>
      <c r="W402" s="7">
        <v>0</v>
      </c>
      <c r="X402" s="3">
        <v>0</v>
      </c>
      <c r="Y402" s="7">
        <v>0</v>
      </c>
    </row>
    <row r="403" spans="1:25" x14ac:dyDescent="0.25">
      <c r="A403" t="s">
        <v>25</v>
      </c>
      <c r="B403" t="s">
        <v>97</v>
      </c>
      <c r="C403" t="str">
        <f t="shared" si="96"/>
        <v>1</v>
      </c>
      <c r="D403" t="str">
        <f>"12345"</f>
        <v>12345</v>
      </c>
      <c r="E403" t="str">
        <f>"0000004"</f>
        <v>0000004</v>
      </c>
      <c r="F403" t="str">
        <f t="shared" si="99"/>
        <v>6123</v>
      </c>
      <c r="G403" t="str">
        <f t="shared" si="100"/>
        <v>70</v>
      </c>
      <c r="H403" t="str">
        <f t="shared" si="101"/>
        <v>01</v>
      </c>
      <c r="I403" t="s">
        <v>83</v>
      </c>
      <c r="J403" t="str">
        <f t="shared" si="102"/>
        <v>6102</v>
      </c>
      <c r="K403" t="str">
        <f t="shared" si="103"/>
        <v>01</v>
      </c>
      <c r="L403" s="3">
        <v>14.18</v>
      </c>
      <c r="M403" s="5">
        <v>13.13</v>
      </c>
      <c r="N403" s="7">
        <v>13.13</v>
      </c>
      <c r="O403" s="3">
        <v>0</v>
      </c>
      <c r="P403" s="7">
        <v>0.22</v>
      </c>
      <c r="Q403" s="7">
        <v>0</v>
      </c>
      <c r="R403" s="7">
        <v>0</v>
      </c>
      <c r="S403" s="7">
        <v>0</v>
      </c>
      <c r="T403" s="7">
        <v>13.13</v>
      </c>
      <c r="U403" s="3">
        <v>0</v>
      </c>
      <c r="V403" s="7">
        <v>1</v>
      </c>
      <c r="W403" s="7">
        <v>0</v>
      </c>
      <c r="X403" s="3">
        <v>0</v>
      </c>
      <c r="Y403" s="7">
        <v>0</v>
      </c>
    </row>
    <row r="404" spans="1:25" x14ac:dyDescent="0.25">
      <c r="A404" t="s">
        <v>25</v>
      </c>
      <c r="B404" t="s">
        <v>97</v>
      </c>
      <c r="C404" t="str">
        <f t="shared" si="96"/>
        <v>1</v>
      </c>
      <c r="D404" t="str">
        <f>"12345"</f>
        <v>12345</v>
      </c>
      <c r="E404" t="str">
        <f>"0000004"</f>
        <v>0000004</v>
      </c>
      <c r="F404" t="str">
        <f t="shared" si="99"/>
        <v>6123</v>
      </c>
      <c r="G404" t="str">
        <f t="shared" si="100"/>
        <v>70</v>
      </c>
      <c r="H404" t="str">
        <f t="shared" si="101"/>
        <v>01</v>
      </c>
      <c r="I404" t="s">
        <v>89</v>
      </c>
      <c r="J404" t="str">
        <f t="shared" si="102"/>
        <v>6102</v>
      </c>
      <c r="K404" t="str">
        <f t="shared" si="103"/>
        <v>01</v>
      </c>
      <c r="L404" s="3">
        <v>104</v>
      </c>
      <c r="M404" s="5">
        <v>104</v>
      </c>
      <c r="N404" s="7">
        <v>104</v>
      </c>
      <c r="O404" s="3">
        <v>0</v>
      </c>
      <c r="P404" s="7">
        <v>1.72</v>
      </c>
      <c r="Q404" s="7">
        <v>0</v>
      </c>
      <c r="R404" s="7">
        <v>0</v>
      </c>
      <c r="S404" s="7">
        <v>0</v>
      </c>
      <c r="T404" s="7">
        <v>104</v>
      </c>
      <c r="U404" s="3">
        <v>0</v>
      </c>
      <c r="V404" s="7">
        <v>7.9</v>
      </c>
      <c r="W404" s="7">
        <v>0</v>
      </c>
      <c r="X404" s="3">
        <v>0</v>
      </c>
      <c r="Y404" s="7">
        <v>0</v>
      </c>
    </row>
    <row r="405" spans="1:25" x14ac:dyDescent="0.25">
      <c r="A405" t="s">
        <v>25</v>
      </c>
      <c r="B405" t="s">
        <v>97</v>
      </c>
      <c r="C405" t="str">
        <f t="shared" si="96"/>
        <v>1</v>
      </c>
      <c r="D405" t="str">
        <f>"12345"</f>
        <v>12345</v>
      </c>
      <c r="E405" t="str">
        <f>"0000004"</f>
        <v>0000004</v>
      </c>
      <c r="F405" t="str">
        <f t="shared" si="99"/>
        <v>6123</v>
      </c>
      <c r="G405" t="str">
        <f t="shared" si="100"/>
        <v>70</v>
      </c>
      <c r="H405" t="str">
        <f t="shared" si="101"/>
        <v>01</v>
      </c>
      <c r="I405" t="s">
        <v>104</v>
      </c>
      <c r="J405" t="str">
        <f t="shared" si="102"/>
        <v>6102</v>
      </c>
      <c r="K405" t="str">
        <f t="shared" si="103"/>
        <v>01</v>
      </c>
      <c r="L405" s="3">
        <v>109.08</v>
      </c>
      <c r="M405" s="5">
        <v>101</v>
      </c>
      <c r="N405" s="7">
        <v>101</v>
      </c>
      <c r="O405" s="3">
        <v>0</v>
      </c>
      <c r="P405" s="7">
        <v>1.67</v>
      </c>
      <c r="Q405" s="7">
        <v>0</v>
      </c>
      <c r="R405" s="7">
        <v>0</v>
      </c>
      <c r="S405" s="7">
        <v>0</v>
      </c>
      <c r="T405" s="7">
        <v>101</v>
      </c>
      <c r="U405" s="3">
        <v>0</v>
      </c>
      <c r="V405" s="7">
        <v>7.68</v>
      </c>
      <c r="W405" s="7">
        <v>0</v>
      </c>
      <c r="X405" s="3">
        <v>0</v>
      </c>
      <c r="Y405" s="7">
        <v>0</v>
      </c>
    </row>
    <row r="406" spans="1:25" x14ac:dyDescent="0.25">
      <c r="A406" t="s">
        <v>25</v>
      </c>
      <c r="B406" t="s">
        <v>97</v>
      </c>
      <c r="C406" t="str">
        <f t="shared" si="96"/>
        <v>1</v>
      </c>
      <c r="D406" t="str">
        <f t="shared" ref="D406:D437" si="104">"5"</f>
        <v>5</v>
      </c>
      <c r="E406" t="str">
        <f>"0076170"</f>
        <v>0076170</v>
      </c>
      <c r="F406" t="str">
        <f t="shared" si="99"/>
        <v>6123</v>
      </c>
      <c r="G406" t="str">
        <f t="shared" si="100"/>
        <v>70</v>
      </c>
      <c r="H406" t="str">
        <f t="shared" si="101"/>
        <v>01</v>
      </c>
      <c r="I406" t="s">
        <v>56</v>
      </c>
      <c r="J406" t="str">
        <f t="shared" si="102"/>
        <v>6102</v>
      </c>
      <c r="K406" t="str">
        <f t="shared" si="103"/>
        <v>01</v>
      </c>
      <c r="L406" s="3">
        <v>138271603.68000001</v>
      </c>
      <c r="M406" s="5">
        <v>138271603.68000001</v>
      </c>
      <c r="N406" s="7">
        <v>138271603.68000001</v>
      </c>
      <c r="O406" s="3">
        <v>0</v>
      </c>
      <c r="P406" s="7">
        <v>2281481.46</v>
      </c>
      <c r="Q406" s="7">
        <v>0</v>
      </c>
      <c r="R406" s="7">
        <v>0</v>
      </c>
      <c r="S406" s="7">
        <v>0</v>
      </c>
      <c r="T406" s="7">
        <v>138271603.68000001</v>
      </c>
      <c r="U406" s="3">
        <v>0</v>
      </c>
      <c r="V406" s="7">
        <v>10508641.880000001</v>
      </c>
      <c r="W406" s="7">
        <v>0</v>
      </c>
      <c r="X406" s="3">
        <v>0</v>
      </c>
      <c r="Y406" s="7">
        <v>0</v>
      </c>
    </row>
    <row r="407" spans="1:25" x14ac:dyDescent="0.25">
      <c r="A407" t="s">
        <v>25</v>
      </c>
      <c r="B407" t="s">
        <v>97</v>
      </c>
      <c r="C407" t="str">
        <f t="shared" si="96"/>
        <v>1</v>
      </c>
      <c r="D407" t="str">
        <f t="shared" si="104"/>
        <v>5</v>
      </c>
      <c r="E407" t="str">
        <f>"0076170"</f>
        <v>0076170</v>
      </c>
      <c r="F407" t="str">
        <f t="shared" si="99"/>
        <v>6123</v>
      </c>
      <c r="G407" t="str">
        <f t="shared" si="100"/>
        <v>70</v>
      </c>
      <c r="H407" t="str">
        <f t="shared" si="101"/>
        <v>01</v>
      </c>
      <c r="I407" t="s">
        <v>89</v>
      </c>
      <c r="J407" t="str">
        <f t="shared" si="102"/>
        <v>6102</v>
      </c>
      <c r="K407" t="str">
        <f t="shared" si="103"/>
        <v>01</v>
      </c>
      <c r="L407" s="3">
        <v>208</v>
      </c>
      <c r="M407" s="5">
        <v>208</v>
      </c>
      <c r="N407" s="7">
        <v>208</v>
      </c>
      <c r="O407" s="3">
        <v>0</v>
      </c>
      <c r="P407" s="7">
        <v>3.43</v>
      </c>
      <c r="Q407" s="7">
        <v>0</v>
      </c>
      <c r="R407" s="7">
        <v>0</v>
      </c>
      <c r="S407" s="7">
        <v>0</v>
      </c>
      <c r="T407" s="7">
        <v>208</v>
      </c>
      <c r="U407" s="3">
        <v>0</v>
      </c>
      <c r="V407" s="7">
        <v>15.81</v>
      </c>
      <c r="W407" s="7">
        <v>0</v>
      </c>
      <c r="X407" s="3">
        <v>0</v>
      </c>
      <c r="Y407" s="7">
        <v>0</v>
      </c>
    </row>
    <row r="408" spans="1:25" x14ac:dyDescent="0.25">
      <c r="A408" t="s">
        <v>25</v>
      </c>
      <c r="B408" t="s">
        <v>97</v>
      </c>
      <c r="C408" t="str">
        <f t="shared" si="96"/>
        <v>1</v>
      </c>
      <c r="D408" t="str">
        <f t="shared" si="104"/>
        <v>5</v>
      </c>
      <c r="E408" t="str">
        <f>"0076172"</f>
        <v>0076172</v>
      </c>
      <c r="F408" t="s">
        <v>108</v>
      </c>
      <c r="G408" t="str">
        <f>"81"</f>
        <v>81</v>
      </c>
      <c r="H408" t="str">
        <f t="shared" si="101"/>
        <v>01</v>
      </c>
      <c r="I408" t="s">
        <v>109</v>
      </c>
      <c r="J408" t="str">
        <f t="shared" si="102"/>
        <v>6102</v>
      </c>
      <c r="K408" t="str">
        <f t="shared" si="103"/>
        <v>01</v>
      </c>
      <c r="L408" s="3">
        <v>208</v>
      </c>
      <c r="M408" s="5">
        <v>208</v>
      </c>
      <c r="N408" s="7">
        <v>208</v>
      </c>
      <c r="O408" s="3">
        <v>0</v>
      </c>
      <c r="P408" s="7">
        <v>3.43</v>
      </c>
      <c r="Q408" s="7">
        <v>0</v>
      </c>
      <c r="R408" s="7">
        <v>0</v>
      </c>
      <c r="S408" s="7">
        <v>0</v>
      </c>
      <c r="T408" s="7">
        <v>208</v>
      </c>
      <c r="U408" s="3">
        <v>0</v>
      </c>
      <c r="V408" s="7">
        <v>15.81</v>
      </c>
      <c r="W408" s="7">
        <v>0</v>
      </c>
      <c r="X408" s="3">
        <v>0</v>
      </c>
      <c r="Y408" s="7">
        <v>0</v>
      </c>
    </row>
    <row r="409" spans="1:25" x14ac:dyDescent="0.25">
      <c r="A409" t="s">
        <v>25</v>
      </c>
      <c r="B409" t="s">
        <v>97</v>
      </c>
      <c r="C409" t="str">
        <f t="shared" si="96"/>
        <v>1</v>
      </c>
      <c r="D409" t="str">
        <f t="shared" si="104"/>
        <v>5</v>
      </c>
      <c r="E409" t="str">
        <f>"0076172"</f>
        <v>0076172</v>
      </c>
      <c r="F409" t="s">
        <v>108</v>
      </c>
      <c r="G409" t="str">
        <f>"81"</f>
        <v>81</v>
      </c>
      <c r="H409" t="str">
        <f t="shared" si="101"/>
        <v>01</v>
      </c>
      <c r="I409" t="s">
        <v>81</v>
      </c>
      <c r="J409" t="str">
        <f t="shared" si="102"/>
        <v>6102</v>
      </c>
      <c r="K409" t="str">
        <f t="shared" si="103"/>
        <v>01</v>
      </c>
      <c r="L409" s="3">
        <v>28.36</v>
      </c>
      <c r="M409" s="5">
        <v>26.26</v>
      </c>
      <c r="N409" s="7">
        <v>26.26</v>
      </c>
      <c r="O409" s="3">
        <v>0</v>
      </c>
      <c r="P409" s="7">
        <v>0.43</v>
      </c>
      <c r="Q409" s="7">
        <v>0</v>
      </c>
      <c r="R409" s="7">
        <v>0</v>
      </c>
      <c r="S409" s="7">
        <v>0</v>
      </c>
      <c r="T409" s="7">
        <v>26.26</v>
      </c>
      <c r="U409" s="3">
        <v>0</v>
      </c>
      <c r="V409" s="7">
        <v>2</v>
      </c>
      <c r="W409" s="7">
        <v>0</v>
      </c>
      <c r="X409" s="3">
        <v>0</v>
      </c>
      <c r="Y409" s="7">
        <v>0</v>
      </c>
    </row>
    <row r="410" spans="1:25" x14ac:dyDescent="0.25">
      <c r="A410" t="s">
        <v>25</v>
      </c>
      <c r="B410" t="s">
        <v>97</v>
      </c>
      <c r="C410" t="str">
        <f t="shared" si="96"/>
        <v>1</v>
      </c>
      <c r="D410" t="str">
        <f t="shared" si="104"/>
        <v>5</v>
      </c>
      <c r="E410" t="str">
        <f>"0076172"</f>
        <v>0076172</v>
      </c>
      <c r="F410" t="s">
        <v>108</v>
      </c>
      <c r="G410" t="str">
        <f>"81"</f>
        <v>81</v>
      </c>
      <c r="H410" t="str">
        <f t="shared" si="101"/>
        <v>01</v>
      </c>
      <c r="I410" t="s">
        <v>84</v>
      </c>
      <c r="J410" t="str">
        <f t="shared" si="102"/>
        <v>6102</v>
      </c>
      <c r="K410" t="str">
        <f t="shared" si="103"/>
        <v>01</v>
      </c>
      <c r="L410" s="3">
        <v>210</v>
      </c>
      <c r="M410" s="5">
        <v>210</v>
      </c>
      <c r="N410" s="7">
        <v>210</v>
      </c>
      <c r="O410" s="3">
        <v>0</v>
      </c>
      <c r="P410" s="7">
        <v>3.47</v>
      </c>
      <c r="Q410" s="7">
        <v>0</v>
      </c>
      <c r="R410" s="7">
        <v>0</v>
      </c>
      <c r="S410" s="7">
        <v>0</v>
      </c>
      <c r="T410" s="7">
        <v>210</v>
      </c>
      <c r="U410" s="3">
        <v>0</v>
      </c>
      <c r="V410" s="7">
        <v>15.96</v>
      </c>
      <c r="W410" s="7">
        <v>0</v>
      </c>
      <c r="X410" s="3">
        <v>0</v>
      </c>
      <c r="Y410" s="7">
        <v>0</v>
      </c>
    </row>
    <row r="411" spans="1:25" x14ac:dyDescent="0.25">
      <c r="A411" t="s">
        <v>25</v>
      </c>
      <c r="B411" t="s">
        <v>97</v>
      </c>
      <c r="C411" t="str">
        <f t="shared" si="96"/>
        <v>1</v>
      </c>
      <c r="D411" t="str">
        <f t="shared" si="104"/>
        <v>5</v>
      </c>
      <c r="E411" t="str">
        <f>"0076172"</f>
        <v>0076172</v>
      </c>
      <c r="F411" t="s">
        <v>108</v>
      </c>
      <c r="G411" t="str">
        <f>"81"</f>
        <v>81</v>
      </c>
      <c r="H411" t="str">
        <f t="shared" si="101"/>
        <v>01</v>
      </c>
      <c r="I411" t="s">
        <v>85</v>
      </c>
      <c r="J411" t="str">
        <f t="shared" si="102"/>
        <v>6102</v>
      </c>
      <c r="K411" t="str">
        <f t="shared" si="103"/>
        <v>01</v>
      </c>
      <c r="L411" s="3">
        <v>1296</v>
      </c>
      <c r="M411" s="5">
        <v>1296</v>
      </c>
      <c r="N411" s="7">
        <v>1296</v>
      </c>
      <c r="O411" s="3">
        <v>0</v>
      </c>
      <c r="P411" s="7">
        <v>21.38</v>
      </c>
      <c r="Q411" s="7">
        <v>0</v>
      </c>
      <c r="R411" s="7">
        <v>0</v>
      </c>
      <c r="S411" s="7">
        <v>0</v>
      </c>
      <c r="T411" s="7">
        <v>1296</v>
      </c>
      <c r="U411" s="3">
        <v>0</v>
      </c>
      <c r="V411" s="7">
        <v>98.5</v>
      </c>
      <c r="W411" s="7">
        <v>0</v>
      </c>
      <c r="X411" s="3">
        <v>0</v>
      </c>
      <c r="Y411" s="7">
        <v>0</v>
      </c>
    </row>
    <row r="412" spans="1:25" x14ac:dyDescent="0.25">
      <c r="A412" t="s">
        <v>25</v>
      </c>
      <c r="B412" t="s">
        <v>97</v>
      </c>
      <c r="C412" t="str">
        <f t="shared" si="96"/>
        <v>1</v>
      </c>
      <c r="D412" t="str">
        <f t="shared" si="104"/>
        <v>5</v>
      </c>
      <c r="E412" t="str">
        <f>"0076174"</f>
        <v>0076174</v>
      </c>
      <c r="F412" t="s">
        <v>108</v>
      </c>
      <c r="G412" t="str">
        <f t="shared" ref="G412:G431" si="105">"70"</f>
        <v>70</v>
      </c>
      <c r="H412" t="str">
        <f t="shared" si="101"/>
        <v>01</v>
      </c>
      <c r="I412" t="s">
        <v>85</v>
      </c>
      <c r="J412" t="str">
        <f t="shared" si="102"/>
        <v>6102</v>
      </c>
      <c r="K412" t="str">
        <f t="shared" si="103"/>
        <v>01</v>
      </c>
      <c r="L412" s="3">
        <v>1296</v>
      </c>
      <c r="M412" s="5">
        <v>1296</v>
      </c>
      <c r="N412" s="7">
        <v>1296</v>
      </c>
      <c r="O412" s="3">
        <v>0</v>
      </c>
      <c r="P412" s="7">
        <v>21.38</v>
      </c>
      <c r="Q412" s="7">
        <v>0</v>
      </c>
      <c r="R412" s="7">
        <v>0</v>
      </c>
      <c r="S412" s="7">
        <v>0</v>
      </c>
      <c r="T412" s="7">
        <v>1296</v>
      </c>
      <c r="U412" s="3">
        <v>0</v>
      </c>
      <c r="V412" s="7">
        <v>98.5</v>
      </c>
      <c r="W412" s="7">
        <v>0</v>
      </c>
      <c r="X412" s="3">
        <v>0</v>
      </c>
      <c r="Y412" s="7">
        <v>0</v>
      </c>
    </row>
    <row r="413" spans="1:25" x14ac:dyDescent="0.25">
      <c r="A413" t="s">
        <v>25</v>
      </c>
      <c r="B413" t="s">
        <v>97</v>
      </c>
      <c r="C413" t="str">
        <f t="shared" si="96"/>
        <v>1</v>
      </c>
      <c r="D413" t="str">
        <f t="shared" si="104"/>
        <v>5</v>
      </c>
      <c r="E413" t="str">
        <f>"0076174"</f>
        <v>0076174</v>
      </c>
      <c r="F413" t="s">
        <v>108</v>
      </c>
      <c r="G413" t="str">
        <f t="shared" si="105"/>
        <v>70</v>
      </c>
      <c r="H413" t="str">
        <f t="shared" si="101"/>
        <v>01</v>
      </c>
      <c r="I413" t="s">
        <v>81</v>
      </c>
      <c r="J413" t="str">
        <f t="shared" si="102"/>
        <v>6102</v>
      </c>
      <c r="K413" t="str">
        <f t="shared" si="103"/>
        <v>01</v>
      </c>
      <c r="L413" s="3">
        <v>94.53</v>
      </c>
      <c r="M413" s="5">
        <v>87.53</v>
      </c>
      <c r="N413" s="7">
        <v>87.53</v>
      </c>
      <c r="O413" s="3">
        <v>0</v>
      </c>
      <c r="P413" s="7">
        <v>1.44</v>
      </c>
      <c r="Q413" s="7">
        <v>0</v>
      </c>
      <c r="R413" s="7">
        <v>0</v>
      </c>
      <c r="S413" s="7">
        <v>0</v>
      </c>
      <c r="T413" s="7">
        <v>87.53</v>
      </c>
      <c r="U413" s="3">
        <v>0</v>
      </c>
      <c r="V413" s="7">
        <v>6.65</v>
      </c>
      <c r="W413" s="7">
        <v>0</v>
      </c>
      <c r="X413" s="3">
        <v>0</v>
      </c>
      <c r="Y413" s="7">
        <v>0</v>
      </c>
    </row>
    <row r="414" spans="1:25" x14ac:dyDescent="0.25">
      <c r="A414" t="s">
        <v>25</v>
      </c>
      <c r="B414" t="s">
        <v>97</v>
      </c>
      <c r="C414" t="str">
        <f t="shared" si="96"/>
        <v>1</v>
      </c>
      <c r="D414" t="str">
        <f t="shared" si="104"/>
        <v>5</v>
      </c>
      <c r="E414" t="str">
        <f>"0076174"</f>
        <v>0076174</v>
      </c>
      <c r="F414" t="s">
        <v>108</v>
      </c>
      <c r="G414" t="str">
        <f t="shared" si="105"/>
        <v>70</v>
      </c>
      <c r="H414" t="str">
        <f t="shared" si="101"/>
        <v>01</v>
      </c>
      <c r="I414" t="s">
        <v>86</v>
      </c>
      <c r="J414" t="str">
        <f t="shared" si="102"/>
        <v>6102</v>
      </c>
      <c r="K414" t="str">
        <f t="shared" si="103"/>
        <v>01</v>
      </c>
      <c r="L414" s="3">
        <v>9104.4</v>
      </c>
      <c r="M414" s="5">
        <v>8430</v>
      </c>
      <c r="N414" s="7">
        <v>8430</v>
      </c>
      <c r="O414" s="3">
        <v>0</v>
      </c>
      <c r="P414" s="7">
        <v>139.1</v>
      </c>
      <c r="Q414" s="7">
        <v>0</v>
      </c>
      <c r="R414" s="7">
        <v>0</v>
      </c>
      <c r="S414" s="7">
        <v>0</v>
      </c>
      <c r="T414" s="7">
        <v>8430</v>
      </c>
      <c r="U414" s="3">
        <v>0</v>
      </c>
      <c r="V414" s="7">
        <v>640.67999999999995</v>
      </c>
      <c r="W414" s="7">
        <v>0</v>
      </c>
      <c r="X414" s="3">
        <v>0</v>
      </c>
      <c r="Y414" s="7">
        <v>0</v>
      </c>
    </row>
    <row r="415" spans="1:25" x14ac:dyDescent="0.25">
      <c r="A415" t="s">
        <v>25</v>
      </c>
      <c r="B415" t="s">
        <v>97</v>
      </c>
      <c r="C415" t="str">
        <f t="shared" si="96"/>
        <v>1</v>
      </c>
      <c r="D415" t="str">
        <f t="shared" si="104"/>
        <v>5</v>
      </c>
      <c r="E415" t="str">
        <f>"0076174"</f>
        <v>0076174</v>
      </c>
      <c r="F415" t="s">
        <v>108</v>
      </c>
      <c r="G415" t="str">
        <f t="shared" si="105"/>
        <v>70</v>
      </c>
      <c r="H415" t="str">
        <f t="shared" si="101"/>
        <v>01</v>
      </c>
      <c r="I415" t="s">
        <v>84</v>
      </c>
      <c r="J415" t="str">
        <f t="shared" si="102"/>
        <v>6102</v>
      </c>
      <c r="K415" t="str">
        <f t="shared" si="103"/>
        <v>01</v>
      </c>
      <c r="L415" s="3">
        <v>21000</v>
      </c>
      <c r="M415" s="5">
        <v>21000</v>
      </c>
      <c r="N415" s="7">
        <v>21000</v>
      </c>
      <c r="O415" s="3">
        <v>0</v>
      </c>
      <c r="P415" s="7">
        <v>346.5</v>
      </c>
      <c r="Q415" s="7">
        <v>0</v>
      </c>
      <c r="R415" s="7">
        <v>0</v>
      </c>
      <c r="S415" s="7">
        <v>0</v>
      </c>
      <c r="T415" s="7">
        <v>21000</v>
      </c>
      <c r="U415" s="3">
        <v>0</v>
      </c>
      <c r="V415" s="7">
        <v>1596</v>
      </c>
      <c r="W415" s="7">
        <v>0</v>
      </c>
      <c r="X415" s="3">
        <v>0</v>
      </c>
      <c r="Y415" s="7">
        <v>0</v>
      </c>
    </row>
    <row r="416" spans="1:25" x14ac:dyDescent="0.25">
      <c r="A416" t="s">
        <v>25</v>
      </c>
      <c r="B416" t="s">
        <v>97</v>
      </c>
      <c r="C416" t="str">
        <f t="shared" ref="C416:C447" si="106">"1"</f>
        <v>1</v>
      </c>
      <c r="D416" t="str">
        <f t="shared" si="104"/>
        <v>5</v>
      </c>
      <c r="E416" t="str">
        <f t="shared" ref="E416:E425" si="107">"0076196"</f>
        <v>0076196</v>
      </c>
      <c r="F416" t="str">
        <f t="shared" ref="F416:F428" si="108">"6123"</f>
        <v>6123</v>
      </c>
      <c r="G416" t="str">
        <f t="shared" si="105"/>
        <v>70</v>
      </c>
      <c r="H416" t="str">
        <f t="shared" si="101"/>
        <v>01</v>
      </c>
      <c r="I416" t="s">
        <v>110</v>
      </c>
      <c r="J416" t="str">
        <f t="shared" si="102"/>
        <v>6102</v>
      </c>
      <c r="K416" t="str">
        <f t="shared" si="103"/>
        <v>01</v>
      </c>
      <c r="L416" s="3">
        <v>23.45</v>
      </c>
      <c r="M416" s="5">
        <v>23.45</v>
      </c>
      <c r="N416" s="7">
        <v>23.45</v>
      </c>
      <c r="O416" s="3">
        <v>0</v>
      </c>
      <c r="P416" s="7">
        <v>0.39</v>
      </c>
      <c r="Q416" s="7">
        <v>0</v>
      </c>
      <c r="R416" s="7">
        <v>0</v>
      </c>
      <c r="S416" s="7">
        <v>0</v>
      </c>
      <c r="T416" s="7">
        <v>23.45</v>
      </c>
      <c r="U416" s="3">
        <v>0</v>
      </c>
      <c r="V416" s="7">
        <v>1.78</v>
      </c>
      <c r="W416" s="7">
        <v>0</v>
      </c>
      <c r="X416" s="3">
        <v>0</v>
      </c>
      <c r="Y416" s="7">
        <v>0</v>
      </c>
    </row>
    <row r="417" spans="1:25" x14ac:dyDescent="0.25">
      <c r="A417" t="s">
        <v>25</v>
      </c>
      <c r="B417" t="s">
        <v>97</v>
      </c>
      <c r="C417" t="str">
        <f t="shared" si="106"/>
        <v>1</v>
      </c>
      <c r="D417" t="str">
        <f t="shared" si="104"/>
        <v>5</v>
      </c>
      <c r="E417" t="str">
        <f t="shared" si="107"/>
        <v>0076196</v>
      </c>
      <c r="F417" t="str">
        <f t="shared" si="108"/>
        <v>6123</v>
      </c>
      <c r="G417" t="str">
        <f t="shared" si="105"/>
        <v>70</v>
      </c>
      <c r="H417" t="str">
        <f t="shared" si="101"/>
        <v>01</v>
      </c>
      <c r="I417" t="s">
        <v>89</v>
      </c>
      <c r="J417" t="str">
        <f t="shared" si="102"/>
        <v>6102</v>
      </c>
      <c r="K417" t="str">
        <f t="shared" si="103"/>
        <v>01</v>
      </c>
      <c r="L417" s="3">
        <v>104</v>
      </c>
      <c r="M417" s="5">
        <v>104</v>
      </c>
      <c r="N417" s="7">
        <v>104</v>
      </c>
      <c r="O417" s="3">
        <v>0</v>
      </c>
      <c r="P417" s="7">
        <v>1.72</v>
      </c>
      <c r="Q417" s="7">
        <v>0</v>
      </c>
      <c r="R417" s="7">
        <v>0</v>
      </c>
      <c r="S417" s="7">
        <v>0</v>
      </c>
      <c r="T417" s="7">
        <v>104</v>
      </c>
      <c r="U417" s="3">
        <v>0</v>
      </c>
      <c r="V417" s="7">
        <v>7.9</v>
      </c>
      <c r="W417" s="7">
        <v>0</v>
      </c>
      <c r="X417" s="3">
        <v>0</v>
      </c>
      <c r="Y417" s="7">
        <v>0</v>
      </c>
    </row>
    <row r="418" spans="1:25" x14ac:dyDescent="0.25">
      <c r="A418" t="s">
        <v>25</v>
      </c>
      <c r="B418" t="s">
        <v>97</v>
      </c>
      <c r="C418" t="str">
        <f t="shared" si="106"/>
        <v>1</v>
      </c>
      <c r="D418" t="str">
        <f t="shared" si="104"/>
        <v>5</v>
      </c>
      <c r="E418" t="str">
        <f t="shared" si="107"/>
        <v>0076196</v>
      </c>
      <c r="F418" t="str">
        <f t="shared" si="108"/>
        <v>6123</v>
      </c>
      <c r="G418" t="str">
        <f t="shared" si="105"/>
        <v>70</v>
      </c>
      <c r="H418" t="str">
        <f t="shared" si="101"/>
        <v>01</v>
      </c>
      <c r="I418" t="s">
        <v>111</v>
      </c>
      <c r="J418" t="str">
        <f t="shared" si="102"/>
        <v>6102</v>
      </c>
      <c r="K418" t="str">
        <f t="shared" si="103"/>
        <v>01</v>
      </c>
      <c r="L418" s="3">
        <v>107</v>
      </c>
      <c r="M418" s="5">
        <v>107</v>
      </c>
      <c r="N418" s="7">
        <v>107</v>
      </c>
      <c r="O418" s="3">
        <v>0</v>
      </c>
      <c r="P418" s="7">
        <v>1.77</v>
      </c>
      <c r="Q418" s="7">
        <v>0</v>
      </c>
      <c r="R418" s="7">
        <v>0</v>
      </c>
      <c r="S418" s="7">
        <v>0</v>
      </c>
      <c r="T418" s="7">
        <v>107</v>
      </c>
      <c r="U418" s="3">
        <v>0</v>
      </c>
      <c r="V418" s="7">
        <v>8.1300000000000008</v>
      </c>
      <c r="W418" s="7">
        <v>0</v>
      </c>
      <c r="X418" s="3">
        <v>0</v>
      </c>
      <c r="Y418" s="7">
        <v>0</v>
      </c>
    </row>
    <row r="419" spans="1:25" x14ac:dyDescent="0.25">
      <c r="A419" t="s">
        <v>25</v>
      </c>
      <c r="B419" t="s">
        <v>97</v>
      </c>
      <c r="C419" t="str">
        <f t="shared" si="106"/>
        <v>1</v>
      </c>
      <c r="D419" t="str">
        <f t="shared" si="104"/>
        <v>5</v>
      </c>
      <c r="E419" t="str">
        <f t="shared" si="107"/>
        <v>0076196</v>
      </c>
      <c r="F419" t="str">
        <f t="shared" si="108"/>
        <v>6123</v>
      </c>
      <c r="G419" t="str">
        <f t="shared" si="105"/>
        <v>70</v>
      </c>
      <c r="H419" t="str">
        <f t="shared" si="101"/>
        <v>01</v>
      </c>
      <c r="I419" t="s">
        <v>83</v>
      </c>
      <c r="J419" t="str">
        <f t="shared" si="102"/>
        <v>6102</v>
      </c>
      <c r="K419" t="str">
        <f t="shared" si="103"/>
        <v>01</v>
      </c>
      <c r="L419" s="3">
        <v>14.18</v>
      </c>
      <c r="M419" s="5">
        <v>13.13</v>
      </c>
      <c r="N419" s="7">
        <v>13.13</v>
      </c>
      <c r="O419" s="3">
        <v>0</v>
      </c>
      <c r="P419" s="7">
        <v>0.22</v>
      </c>
      <c r="Q419" s="7">
        <v>0</v>
      </c>
      <c r="R419" s="7">
        <v>0</v>
      </c>
      <c r="S419" s="7">
        <v>0</v>
      </c>
      <c r="T419" s="7">
        <v>13.13</v>
      </c>
      <c r="U419" s="3">
        <v>0</v>
      </c>
      <c r="V419" s="7">
        <v>1</v>
      </c>
      <c r="W419" s="7">
        <v>0</v>
      </c>
      <c r="X419" s="3">
        <v>0</v>
      </c>
      <c r="Y419" s="7">
        <v>0</v>
      </c>
    </row>
    <row r="420" spans="1:25" x14ac:dyDescent="0.25">
      <c r="A420" t="s">
        <v>25</v>
      </c>
      <c r="B420" t="s">
        <v>97</v>
      </c>
      <c r="C420" t="str">
        <f t="shared" si="106"/>
        <v>1</v>
      </c>
      <c r="D420" t="str">
        <f t="shared" si="104"/>
        <v>5</v>
      </c>
      <c r="E420" t="str">
        <f t="shared" si="107"/>
        <v>0076196</v>
      </c>
      <c r="F420" t="str">
        <f t="shared" si="108"/>
        <v>6123</v>
      </c>
      <c r="G420" t="str">
        <f t="shared" si="105"/>
        <v>70</v>
      </c>
      <c r="H420" t="str">
        <f t="shared" si="101"/>
        <v>01</v>
      </c>
      <c r="I420" t="s">
        <v>56</v>
      </c>
      <c r="J420" t="str">
        <f t="shared" si="102"/>
        <v>6102</v>
      </c>
      <c r="K420" t="str">
        <f t="shared" si="103"/>
        <v>01</v>
      </c>
      <c r="L420" s="3">
        <v>105</v>
      </c>
      <c r="M420" s="5">
        <v>105</v>
      </c>
      <c r="N420" s="7">
        <v>105</v>
      </c>
      <c r="O420" s="3">
        <v>0</v>
      </c>
      <c r="P420" s="7">
        <v>1.73</v>
      </c>
      <c r="Q420" s="7">
        <v>0</v>
      </c>
      <c r="R420" s="7">
        <v>0</v>
      </c>
      <c r="S420" s="7">
        <v>0</v>
      </c>
      <c r="T420" s="7">
        <v>105</v>
      </c>
      <c r="U420" s="3">
        <v>0</v>
      </c>
      <c r="V420" s="7">
        <v>7.98</v>
      </c>
      <c r="W420" s="7">
        <v>0</v>
      </c>
      <c r="X420" s="3">
        <v>0</v>
      </c>
      <c r="Y420" s="7">
        <v>0</v>
      </c>
    </row>
    <row r="421" spans="1:25" x14ac:dyDescent="0.25">
      <c r="A421" t="s">
        <v>25</v>
      </c>
      <c r="B421" t="s">
        <v>97</v>
      </c>
      <c r="C421" t="str">
        <f t="shared" si="106"/>
        <v>1</v>
      </c>
      <c r="D421" t="str">
        <f t="shared" si="104"/>
        <v>5</v>
      </c>
      <c r="E421" t="str">
        <f t="shared" si="107"/>
        <v>0076196</v>
      </c>
      <c r="F421" t="str">
        <f t="shared" si="108"/>
        <v>6123</v>
      </c>
      <c r="G421" t="str">
        <f t="shared" si="105"/>
        <v>70</v>
      </c>
      <c r="H421" t="str">
        <f t="shared" si="101"/>
        <v>01</v>
      </c>
      <c r="I421" t="s">
        <v>104</v>
      </c>
      <c r="J421" t="str">
        <f t="shared" si="102"/>
        <v>6102</v>
      </c>
      <c r="K421" t="str">
        <f t="shared" si="103"/>
        <v>01</v>
      </c>
      <c r="L421" s="3">
        <v>109.08</v>
      </c>
      <c r="M421" s="5">
        <v>101</v>
      </c>
      <c r="N421" s="7">
        <v>101</v>
      </c>
      <c r="O421" s="3">
        <v>0</v>
      </c>
      <c r="P421" s="7">
        <v>1.67</v>
      </c>
      <c r="Q421" s="7">
        <v>0</v>
      </c>
      <c r="R421" s="7">
        <v>0</v>
      </c>
      <c r="S421" s="7">
        <v>0</v>
      </c>
      <c r="T421" s="7">
        <v>101</v>
      </c>
      <c r="U421" s="3">
        <v>0</v>
      </c>
      <c r="V421" s="7">
        <v>7.68</v>
      </c>
      <c r="W421" s="7">
        <v>0</v>
      </c>
      <c r="X421" s="3">
        <v>0</v>
      </c>
      <c r="Y421" s="7">
        <v>0</v>
      </c>
    </row>
    <row r="422" spans="1:25" x14ac:dyDescent="0.25">
      <c r="A422" t="s">
        <v>25</v>
      </c>
      <c r="B422" t="s">
        <v>97</v>
      </c>
      <c r="C422" t="str">
        <f t="shared" si="106"/>
        <v>1</v>
      </c>
      <c r="D422" t="str">
        <f t="shared" si="104"/>
        <v>5</v>
      </c>
      <c r="E422" t="str">
        <f t="shared" si="107"/>
        <v>0076196</v>
      </c>
      <c r="F422" t="str">
        <f t="shared" si="108"/>
        <v>6123</v>
      </c>
      <c r="G422" t="str">
        <f t="shared" si="105"/>
        <v>70</v>
      </c>
      <c r="H422" t="str">
        <f t="shared" si="101"/>
        <v>01</v>
      </c>
      <c r="I422" t="s">
        <v>107</v>
      </c>
      <c r="J422" t="str">
        <f t="shared" si="102"/>
        <v>6102</v>
      </c>
      <c r="K422" t="str">
        <f t="shared" si="103"/>
        <v>01</v>
      </c>
      <c r="L422" s="3">
        <v>108</v>
      </c>
      <c r="M422" s="5">
        <v>108</v>
      </c>
      <c r="N422" s="7">
        <v>108</v>
      </c>
      <c r="O422" s="3">
        <v>0</v>
      </c>
      <c r="P422" s="7">
        <v>1.78</v>
      </c>
      <c r="Q422" s="7">
        <v>0</v>
      </c>
      <c r="R422" s="7">
        <v>0</v>
      </c>
      <c r="S422" s="7">
        <v>0</v>
      </c>
      <c r="T422" s="7">
        <v>108</v>
      </c>
      <c r="U422" s="3">
        <v>0</v>
      </c>
      <c r="V422" s="7">
        <v>8.2100000000000009</v>
      </c>
      <c r="W422" s="7">
        <v>0</v>
      </c>
      <c r="X422" s="3">
        <v>0</v>
      </c>
      <c r="Y422" s="7">
        <v>0</v>
      </c>
    </row>
    <row r="423" spans="1:25" x14ac:dyDescent="0.25">
      <c r="A423" t="s">
        <v>25</v>
      </c>
      <c r="B423" t="s">
        <v>97</v>
      </c>
      <c r="C423" t="str">
        <f t="shared" si="106"/>
        <v>1</v>
      </c>
      <c r="D423" t="str">
        <f t="shared" si="104"/>
        <v>5</v>
      </c>
      <c r="E423" t="str">
        <f t="shared" si="107"/>
        <v>0076196</v>
      </c>
      <c r="F423" t="str">
        <f t="shared" si="108"/>
        <v>6123</v>
      </c>
      <c r="G423" t="str">
        <f t="shared" si="105"/>
        <v>70</v>
      </c>
      <c r="H423" t="str">
        <f t="shared" si="101"/>
        <v>01</v>
      </c>
      <c r="I423" t="s">
        <v>112</v>
      </c>
      <c r="J423" t="str">
        <f t="shared" si="102"/>
        <v>6102</v>
      </c>
      <c r="K423" t="str">
        <f t="shared" si="103"/>
        <v>01</v>
      </c>
      <c r="L423" s="3">
        <v>109</v>
      </c>
      <c r="M423" s="5">
        <v>109</v>
      </c>
      <c r="N423" s="7">
        <v>109</v>
      </c>
      <c r="O423" s="3">
        <v>0</v>
      </c>
      <c r="P423" s="7">
        <v>1.8</v>
      </c>
      <c r="Q423" s="7">
        <v>0</v>
      </c>
      <c r="R423" s="7">
        <v>0</v>
      </c>
      <c r="S423" s="7">
        <v>0</v>
      </c>
      <c r="T423" s="7">
        <v>109</v>
      </c>
      <c r="U423" s="3">
        <v>0</v>
      </c>
      <c r="V423" s="7">
        <v>8.2799999999999994</v>
      </c>
      <c r="W423" s="7">
        <v>0</v>
      </c>
      <c r="X423" s="3">
        <v>0</v>
      </c>
      <c r="Y423" s="7">
        <v>0</v>
      </c>
    </row>
    <row r="424" spans="1:25" x14ac:dyDescent="0.25">
      <c r="A424" t="s">
        <v>25</v>
      </c>
      <c r="B424" t="s">
        <v>97</v>
      </c>
      <c r="C424" t="str">
        <f t="shared" si="106"/>
        <v>1</v>
      </c>
      <c r="D424" t="str">
        <f t="shared" si="104"/>
        <v>5</v>
      </c>
      <c r="E424" t="str">
        <f t="shared" si="107"/>
        <v>0076196</v>
      </c>
      <c r="F424" t="str">
        <f t="shared" si="108"/>
        <v>6123</v>
      </c>
      <c r="G424" t="str">
        <f t="shared" si="105"/>
        <v>70</v>
      </c>
      <c r="H424" t="str">
        <f t="shared" si="101"/>
        <v>01</v>
      </c>
      <c r="I424" t="s">
        <v>75</v>
      </c>
      <c r="J424" t="str">
        <f t="shared" si="102"/>
        <v>6102</v>
      </c>
      <c r="K424" t="str">
        <f>"02"</f>
        <v>02</v>
      </c>
      <c r="L424" s="3">
        <v>102</v>
      </c>
      <c r="M424" s="5">
        <v>102</v>
      </c>
      <c r="N424" s="7">
        <v>102</v>
      </c>
      <c r="O424" s="3">
        <v>0</v>
      </c>
      <c r="P424" s="7">
        <v>1.68</v>
      </c>
      <c r="Q424" s="7">
        <v>0</v>
      </c>
      <c r="R424" s="7">
        <v>0</v>
      </c>
      <c r="S424" s="7">
        <v>0</v>
      </c>
      <c r="T424" s="7">
        <v>102</v>
      </c>
      <c r="U424" s="3">
        <v>0</v>
      </c>
      <c r="V424" s="7">
        <v>7.75</v>
      </c>
      <c r="W424" s="7">
        <v>0</v>
      </c>
      <c r="X424" s="3">
        <v>0</v>
      </c>
      <c r="Y424" s="7">
        <v>0</v>
      </c>
    </row>
    <row r="425" spans="1:25" x14ac:dyDescent="0.25">
      <c r="A425" t="s">
        <v>25</v>
      </c>
      <c r="B425" t="s">
        <v>97</v>
      </c>
      <c r="C425" t="str">
        <f t="shared" si="106"/>
        <v>1</v>
      </c>
      <c r="D425" t="str">
        <f t="shared" si="104"/>
        <v>5</v>
      </c>
      <c r="E425" t="str">
        <f t="shared" si="107"/>
        <v>0076196</v>
      </c>
      <c r="F425" t="str">
        <f t="shared" si="108"/>
        <v>6123</v>
      </c>
      <c r="G425" t="str">
        <f t="shared" si="105"/>
        <v>70</v>
      </c>
      <c r="H425" t="str">
        <f t="shared" si="101"/>
        <v>01</v>
      </c>
      <c r="I425" t="s">
        <v>113</v>
      </c>
      <c r="J425" t="str">
        <f t="shared" si="102"/>
        <v>6102</v>
      </c>
      <c r="K425" t="str">
        <f t="shared" ref="K425:K433" si="109">"01"</f>
        <v>01</v>
      </c>
      <c r="L425" s="3">
        <v>102</v>
      </c>
      <c r="M425" s="5">
        <v>102</v>
      </c>
      <c r="N425" s="7">
        <v>102</v>
      </c>
      <c r="O425" s="3">
        <v>0</v>
      </c>
      <c r="P425" s="7">
        <v>1.68</v>
      </c>
      <c r="Q425" s="7">
        <v>0</v>
      </c>
      <c r="R425" s="7">
        <v>0</v>
      </c>
      <c r="S425" s="7">
        <v>0</v>
      </c>
      <c r="T425" s="7">
        <v>102</v>
      </c>
      <c r="U425" s="3">
        <v>0</v>
      </c>
      <c r="V425" s="7">
        <v>7.75</v>
      </c>
      <c r="W425" s="7">
        <v>0</v>
      </c>
      <c r="X425" s="3">
        <v>0</v>
      </c>
      <c r="Y425" s="7">
        <v>0</v>
      </c>
    </row>
    <row r="426" spans="1:25" x14ac:dyDescent="0.25">
      <c r="A426" t="s">
        <v>25</v>
      </c>
      <c r="B426" t="s">
        <v>97</v>
      </c>
      <c r="C426" t="str">
        <f t="shared" si="106"/>
        <v>1</v>
      </c>
      <c r="D426" t="str">
        <f t="shared" si="104"/>
        <v>5</v>
      </c>
      <c r="E426" t="str">
        <f>"0076267"</f>
        <v>0076267</v>
      </c>
      <c r="F426" t="str">
        <f t="shared" si="108"/>
        <v>6123</v>
      </c>
      <c r="G426" t="str">
        <f t="shared" si="105"/>
        <v>70</v>
      </c>
      <c r="H426" t="str">
        <f t="shared" si="101"/>
        <v>01</v>
      </c>
      <c r="I426" t="s">
        <v>86</v>
      </c>
      <c r="J426" t="str">
        <f t="shared" si="102"/>
        <v>6102</v>
      </c>
      <c r="K426" t="str">
        <f t="shared" si="109"/>
        <v>01</v>
      </c>
      <c r="L426" s="3">
        <v>218.16</v>
      </c>
      <c r="M426" s="5">
        <v>202</v>
      </c>
      <c r="N426" s="7">
        <v>202</v>
      </c>
      <c r="O426" s="3">
        <v>0</v>
      </c>
      <c r="P426" s="7">
        <v>3.33</v>
      </c>
      <c r="Q426" s="7">
        <v>0</v>
      </c>
      <c r="R426" s="7">
        <v>0</v>
      </c>
      <c r="S426" s="7">
        <v>0</v>
      </c>
      <c r="T426" s="7">
        <v>202</v>
      </c>
      <c r="U426" s="3">
        <v>0</v>
      </c>
      <c r="V426" s="7">
        <v>15.35</v>
      </c>
      <c r="W426" s="7">
        <v>0</v>
      </c>
      <c r="X426" s="3">
        <v>0</v>
      </c>
      <c r="Y426" s="7">
        <v>0</v>
      </c>
    </row>
    <row r="427" spans="1:25" x14ac:dyDescent="0.25">
      <c r="A427" t="s">
        <v>25</v>
      </c>
      <c r="B427" t="s">
        <v>97</v>
      </c>
      <c r="C427" t="str">
        <f t="shared" si="106"/>
        <v>1</v>
      </c>
      <c r="D427" t="str">
        <f t="shared" si="104"/>
        <v>5</v>
      </c>
      <c r="E427" t="str">
        <f>"0076267"</f>
        <v>0076267</v>
      </c>
      <c r="F427" t="str">
        <f t="shared" si="108"/>
        <v>6123</v>
      </c>
      <c r="G427" t="str">
        <f t="shared" si="105"/>
        <v>70</v>
      </c>
      <c r="H427" t="str">
        <f t="shared" si="101"/>
        <v>01</v>
      </c>
      <c r="I427" t="s">
        <v>84</v>
      </c>
      <c r="J427" t="str">
        <f t="shared" si="102"/>
        <v>6102</v>
      </c>
      <c r="K427" t="str">
        <f t="shared" si="109"/>
        <v>01</v>
      </c>
      <c r="L427" s="3">
        <v>210</v>
      </c>
      <c r="M427" s="5">
        <v>210</v>
      </c>
      <c r="N427" s="7">
        <v>210</v>
      </c>
      <c r="O427" s="3">
        <v>0</v>
      </c>
      <c r="P427" s="7">
        <v>3.47</v>
      </c>
      <c r="Q427" s="7">
        <v>0</v>
      </c>
      <c r="R427" s="7">
        <v>0</v>
      </c>
      <c r="S427" s="7">
        <v>0</v>
      </c>
      <c r="T427" s="7">
        <v>210</v>
      </c>
      <c r="U427" s="3">
        <v>0</v>
      </c>
      <c r="V427" s="7">
        <v>15.96</v>
      </c>
      <c r="W427" s="7">
        <v>0</v>
      </c>
      <c r="X427" s="3">
        <v>0</v>
      </c>
      <c r="Y427" s="7">
        <v>0</v>
      </c>
    </row>
    <row r="428" spans="1:25" x14ac:dyDescent="0.25">
      <c r="A428" t="s">
        <v>25</v>
      </c>
      <c r="B428" t="s">
        <v>97</v>
      </c>
      <c r="C428" t="str">
        <f t="shared" si="106"/>
        <v>1</v>
      </c>
      <c r="D428" t="str">
        <f t="shared" si="104"/>
        <v>5</v>
      </c>
      <c r="E428" t="str">
        <f>"0076267"</f>
        <v>0076267</v>
      </c>
      <c r="F428" t="str">
        <f t="shared" si="108"/>
        <v>6123</v>
      </c>
      <c r="G428" t="str">
        <f t="shared" si="105"/>
        <v>70</v>
      </c>
      <c r="H428" t="str">
        <f t="shared" si="101"/>
        <v>01</v>
      </c>
      <c r="I428" t="s">
        <v>84</v>
      </c>
      <c r="J428" t="str">
        <f t="shared" si="102"/>
        <v>6102</v>
      </c>
      <c r="K428" t="str">
        <f t="shared" si="109"/>
        <v>01</v>
      </c>
      <c r="L428" s="3">
        <v>257.10000000000002</v>
      </c>
      <c r="M428" s="5">
        <v>257.10000000000002</v>
      </c>
      <c r="N428" s="7">
        <v>257.10000000000002</v>
      </c>
      <c r="O428" s="3">
        <v>0</v>
      </c>
      <c r="P428" s="7">
        <v>4.24</v>
      </c>
      <c r="Q428" s="7">
        <v>0</v>
      </c>
      <c r="R428" s="7">
        <v>0</v>
      </c>
      <c r="S428" s="7">
        <v>0</v>
      </c>
      <c r="T428" s="7">
        <v>257.10000000000002</v>
      </c>
      <c r="U428" s="3">
        <v>0</v>
      </c>
      <c r="V428" s="7">
        <v>19.54</v>
      </c>
      <c r="W428" s="7">
        <v>0</v>
      </c>
      <c r="X428" s="3">
        <v>0</v>
      </c>
      <c r="Y428" s="7">
        <v>0</v>
      </c>
    </row>
    <row r="429" spans="1:25" x14ac:dyDescent="0.25">
      <c r="A429" t="s">
        <v>25</v>
      </c>
      <c r="B429" t="s">
        <v>97</v>
      </c>
      <c r="C429" t="str">
        <f t="shared" si="106"/>
        <v>1</v>
      </c>
      <c r="D429" t="str">
        <f t="shared" si="104"/>
        <v>5</v>
      </c>
      <c r="E429" t="str">
        <f>"0076272"</f>
        <v>0076272</v>
      </c>
      <c r="F429" t="s">
        <v>108</v>
      </c>
      <c r="G429" t="str">
        <f t="shared" si="105"/>
        <v>70</v>
      </c>
      <c r="H429" t="str">
        <f t="shared" si="101"/>
        <v>01</v>
      </c>
      <c r="I429" t="s">
        <v>84</v>
      </c>
      <c r="J429" t="str">
        <f t="shared" si="102"/>
        <v>6102</v>
      </c>
      <c r="K429" t="str">
        <f t="shared" si="109"/>
        <v>01</v>
      </c>
      <c r="L429" s="3">
        <v>21000</v>
      </c>
      <c r="M429" s="5">
        <v>21000</v>
      </c>
      <c r="N429" s="7">
        <v>21000</v>
      </c>
      <c r="O429" s="3">
        <v>0</v>
      </c>
      <c r="P429" s="7">
        <v>346.5</v>
      </c>
      <c r="Q429" s="7">
        <v>0</v>
      </c>
      <c r="R429" s="7">
        <v>0</v>
      </c>
      <c r="S429" s="7">
        <v>0</v>
      </c>
      <c r="T429" s="7">
        <v>21000</v>
      </c>
      <c r="U429" s="3">
        <v>0</v>
      </c>
      <c r="V429" s="7">
        <v>1596</v>
      </c>
      <c r="W429" s="7">
        <v>0</v>
      </c>
      <c r="X429" s="3">
        <v>0</v>
      </c>
      <c r="Y429" s="7">
        <v>0</v>
      </c>
    </row>
    <row r="430" spans="1:25" x14ac:dyDescent="0.25">
      <c r="A430" t="s">
        <v>25</v>
      </c>
      <c r="B430" t="s">
        <v>97</v>
      </c>
      <c r="C430" t="str">
        <f t="shared" si="106"/>
        <v>1</v>
      </c>
      <c r="D430" t="str">
        <f t="shared" si="104"/>
        <v>5</v>
      </c>
      <c r="E430" t="str">
        <f>"0076272"</f>
        <v>0076272</v>
      </c>
      <c r="F430" t="s">
        <v>108</v>
      </c>
      <c r="G430" t="str">
        <f t="shared" si="105"/>
        <v>70</v>
      </c>
      <c r="H430" t="str">
        <f t="shared" si="101"/>
        <v>01</v>
      </c>
      <c r="I430" t="s">
        <v>86</v>
      </c>
      <c r="J430" t="str">
        <f t="shared" si="102"/>
        <v>6102</v>
      </c>
      <c r="K430" t="str">
        <f t="shared" si="109"/>
        <v>01</v>
      </c>
      <c r="L430" s="3">
        <v>9104.4</v>
      </c>
      <c r="M430" s="5">
        <v>8430</v>
      </c>
      <c r="N430" s="7">
        <v>8430</v>
      </c>
      <c r="O430" s="3">
        <v>0</v>
      </c>
      <c r="P430" s="7">
        <v>139.1</v>
      </c>
      <c r="Q430" s="7">
        <v>0</v>
      </c>
      <c r="R430" s="7">
        <v>0</v>
      </c>
      <c r="S430" s="7">
        <v>0</v>
      </c>
      <c r="T430" s="7">
        <v>8430</v>
      </c>
      <c r="U430" s="3">
        <v>0</v>
      </c>
      <c r="V430" s="7">
        <v>640.67999999999995</v>
      </c>
      <c r="W430" s="7">
        <v>0</v>
      </c>
      <c r="X430" s="3">
        <v>0</v>
      </c>
      <c r="Y430" s="7">
        <v>0</v>
      </c>
    </row>
    <row r="431" spans="1:25" x14ac:dyDescent="0.25">
      <c r="A431" t="s">
        <v>25</v>
      </c>
      <c r="B431" t="s">
        <v>97</v>
      </c>
      <c r="C431" t="str">
        <f t="shared" si="106"/>
        <v>1</v>
      </c>
      <c r="D431" t="str">
        <f t="shared" si="104"/>
        <v>5</v>
      </c>
      <c r="E431" t="str">
        <f>"0076272"</f>
        <v>0076272</v>
      </c>
      <c r="F431" t="s">
        <v>108</v>
      </c>
      <c r="G431" t="str">
        <f t="shared" si="105"/>
        <v>70</v>
      </c>
      <c r="H431" t="str">
        <f t="shared" si="101"/>
        <v>01</v>
      </c>
      <c r="I431" t="s">
        <v>109</v>
      </c>
      <c r="J431" t="str">
        <f t="shared" si="102"/>
        <v>6102</v>
      </c>
      <c r="K431" t="str">
        <f t="shared" si="109"/>
        <v>01</v>
      </c>
      <c r="L431" s="3">
        <v>346.66</v>
      </c>
      <c r="M431" s="5">
        <v>346.66</v>
      </c>
      <c r="N431" s="7">
        <v>346.66</v>
      </c>
      <c r="O431" s="3">
        <v>0</v>
      </c>
      <c r="P431" s="7">
        <v>5.72</v>
      </c>
      <c r="Q431" s="7">
        <v>0</v>
      </c>
      <c r="R431" s="7">
        <v>0</v>
      </c>
      <c r="S431" s="7">
        <v>0</v>
      </c>
      <c r="T431" s="7">
        <v>346.66</v>
      </c>
      <c r="U431" s="3">
        <v>0</v>
      </c>
      <c r="V431" s="7">
        <v>26.35</v>
      </c>
      <c r="W431" s="7">
        <v>0</v>
      </c>
      <c r="X431" s="3">
        <v>0</v>
      </c>
      <c r="Y431" s="7">
        <v>0</v>
      </c>
    </row>
    <row r="432" spans="1:25" x14ac:dyDescent="0.25">
      <c r="A432" t="s">
        <v>25</v>
      </c>
      <c r="B432" t="s">
        <v>97</v>
      </c>
      <c r="C432" t="str">
        <f t="shared" si="106"/>
        <v>1</v>
      </c>
      <c r="D432" t="str">
        <f t="shared" si="104"/>
        <v>5</v>
      </c>
      <c r="E432" t="str">
        <f>"0076274"</f>
        <v>0076274</v>
      </c>
      <c r="F432" t="s">
        <v>108</v>
      </c>
      <c r="G432" t="str">
        <f t="shared" ref="G432:G438" si="110">"81"</f>
        <v>81</v>
      </c>
      <c r="H432" t="str">
        <f t="shared" si="101"/>
        <v>01</v>
      </c>
      <c r="I432" t="s">
        <v>62</v>
      </c>
      <c r="J432" t="str">
        <f t="shared" si="102"/>
        <v>6102</v>
      </c>
      <c r="K432" t="str">
        <f t="shared" si="109"/>
        <v>01</v>
      </c>
      <c r="L432" s="3">
        <v>206</v>
      </c>
      <c r="M432" s="5">
        <v>206</v>
      </c>
      <c r="N432" s="7">
        <v>206</v>
      </c>
      <c r="O432" s="3">
        <v>0</v>
      </c>
      <c r="P432" s="7">
        <v>3.4</v>
      </c>
      <c r="Q432" s="7">
        <v>0</v>
      </c>
      <c r="R432" s="7">
        <v>0</v>
      </c>
      <c r="S432" s="7">
        <v>0</v>
      </c>
      <c r="T432" s="7">
        <v>206</v>
      </c>
      <c r="U432" s="3">
        <v>0</v>
      </c>
      <c r="V432" s="7">
        <v>15.66</v>
      </c>
      <c r="W432" s="7">
        <v>0</v>
      </c>
      <c r="X432" s="3">
        <v>0</v>
      </c>
      <c r="Y432" s="7">
        <v>0</v>
      </c>
    </row>
    <row r="433" spans="1:25" x14ac:dyDescent="0.25">
      <c r="A433" t="s">
        <v>25</v>
      </c>
      <c r="B433" t="s">
        <v>97</v>
      </c>
      <c r="C433" t="str">
        <f t="shared" si="106"/>
        <v>1</v>
      </c>
      <c r="D433" t="str">
        <f t="shared" si="104"/>
        <v>5</v>
      </c>
      <c r="E433" t="str">
        <f>"0076274"</f>
        <v>0076274</v>
      </c>
      <c r="F433" t="s">
        <v>108</v>
      </c>
      <c r="G433" t="str">
        <f t="shared" si="110"/>
        <v>81</v>
      </c>
      <c r="H433" t="str">
        <f t="shared" ref="H433:H464" si="111">"01"</f>
        <v>01</v>
      </c>
      <c r="I433" t="s">
        <v>86</v>
      </c>
      <c r="J433" t="str">
        <f t="shared" ref="J433:J464" si="112">"6102"</f>
        <v>6102</v>
      </c>
      <c r="K433" t="str">
        <f t="shared" si="109"/>
        <v>01</v>
      </c>
      <c r="L433" s="3">
        <v>218.16</v>
      </c>
      <c r="M433" s="5">
        <v>202</v>
      </c>
      <c r="N433" s="7">
        <v>202</v>
      </c>
      <c r="O433" s="3">
        <v>0</v>
      </c>
      <c r="P433" s="7">
        <v>3.33</v>
      </c>
      <c r="Q433" s="7">
        <v>0</v>
      </c>
      <c r="R433" s="7">
        <v>0</v>
      </c>
      <c r="S433" s="7">
        <v>0</v>
      </c>
      <c r="T433" s="7">
        <v>202</v>
      </c>
      <c r="U433" s="3">
        <v>0</v>
      </c>
      <c r="V433" s="7">
        <v>15.35</v>
      </c>
      <c r="W433" s="7">
        <v>0</v>
      </c>
      <c r="X433" s="3">
        <v>0</v>
      </c>
      <c r="Y433" s="7">
        <v>0</v>
      </c>
    </row>
    <row r="434" spans="1:25" x14ac:dyDescent="0.25">
      <c r="A434" t="s">
        <v>25</v>
      </c>
      <c r="B434" t="s">
        <v>97</v>
      </c>
      <c r="C434" t="str">
        <f t="shared" si="106"/>
        <v>1</v>
      </c>
      <c r="D434" t="str">
        <f t="shared" si="104"/>
        <v>5</v>
      </c>
      <c r="E434" t="str">
        <f>"0076274"</f>
        <v>0076274</v>
      </c>
      <c r="F434" t="s">
        <v>108</v>
      </c>
      <c r="G434" t="str">
        <f t="shared" si="110"/>
        <v>81</v>
      </c>
      <c r="H434" t="str">
        <f t="shared" si="111"/>
        <v>01</v>
      </c>
      <c r="I434" t="s">
        <v>95</v>
      </c>
      <c r="J434" t="str">
        <f t="shared" si="112"/>
        <v>6102</v>
      </c>
      <c r="K434" t="str">
        <f>"02"</f>
        <v>02</v>
      </c>
      <c r="L434" s="3">
        <v>204</v>
      </c>
      <c r="M434" s="5">
        <v>204</v>
      </c>
      <c r="N434" s="7">
        <v>204</v>
      </c>
      <c r="O434" s="3">
        <v>0</v>
      </c>
      <c r="P434" s="7">
        <v>3.37</v>
      </c>
      <c r="Q434" s="7">
        <v>0</v>
      </c>
      <c r="R434" s="7">
        <v>0</v>
      </c>
      <c r="S434" s="7">
        <v>0</v>
      </c>
      <c r="T434" s="7">
        <v>204</v>
      </c>
      <c r="U434" s="3">
        <v>0</v>
      </c>
      <c r="V434" s="7">
        <v>15.5</v>
      </c>
      <c r="W434" s="7">
        <v>0</v>
      </c>
      <c r="X434" s="3">
        <v>0</v>
      </c>
      <c r="Y434" s="7">
        <v>0</v>
      </c>
    </row>
    <row r="435" spans="1:25" x14ac:dyDescent="0.25">
      <c r="A435" t="s">
        <v>25</v>
      </c>
      <c r="B435" t="s">
        <v>97</v>
      </c>
      <c r="C435" t="str">
        <f t="shared" si="106"/>
        <v>1</v>
      </c>
      <c r="D435" t="str">
        <f t="shared" si="104"/>
        <v>5</v>
      </c>
      <c r="E435" t="str">
        <f>"0076274"</f>
        <v>0076274</v>
      </c>
      <c r="F435" t="s">
        <v>108</v>
      </c>
      <c r="G435" t="str">
        <f t="shared" si="110"/>
        <v>81</v>
      </c>
      <c r="H435" t="str">
        <f t="shared" si="111"/>
        <v>01</v>
      </c>
      <c r="I435" t="s">
        <v>86</v>
      </c>
      <c r="J435" t="str">
        <f t="shared" si="112"/>
        <v>6102</v>
      </c>
      <c r="K435" t="str">
        <f t="shared" ref="K435:K447" si="113">"01"</f>
        <v>01</v>
      </c>
      <c r="L435" s="3">
        <v>218.16</v>
      </c>
      <c r="M435" s="5">
        <v>202</v>
      </c>
      <c r="N435" s="7">
        <v>202</v>
      </c>
      <c r="O435" s="3">
        <v>0</v>
      </c>
      <c r="P435" s="7">
        <v>3.33</v>
      </c>
      <c r="Q435" s="7">
        <v>0</v>
      </c>
      <c r="R435" s="7">
        <v>0</v>
      </c>
      <c r="S435" s="7">
        <v>0</v>
      </c>
      <c r="T435" s="7">
        <v>202</v>
      </c>
      <c r="U435" s="3">
        <v>0</v>
      </c>
      <c r="V435" s="7">
        <v>15.35</v>
      </c>
      <c r="W435" s="7">
        <v>0</v>
      </c>
      <c r="X435" s="3">
        <v>0</v>
      </c>
      <c r="Y435" s="7">
        <v>0</v>
      </c>
    </row>
    <row r="436" spans="1:25" x14ac:dyDescent="0.25">
      <c r="A436" t="s">
        <v>25</v>
      </c>
      <c r="B436" t="s">
        <v>97</v>
      </c>
      <c r="C436" t="str">
        <f t="shared" si="106"/>
        <v>1</v>
      </c>
      <c r="D436" t="str">
        <f t="shared" si="104"/>
        <v>5</v>
      </c>
      <c r="E436" t="str">
        <f>"0076277"</f>
        <v>0076277</v>
      </c>
      <c r="F436" t="s">
        <v>108</v>
      </c>
      <c r="G436" t="str">
        <f t="shared" si="110"/>
        <v>81</v>
      </c>
      <c r="H436" t="str">
        <f t="shared" si="111"/>
        <v>01</v>
      </c>
      <c r="I436" t="s">
        <v>86</v>
      </c>
      <c r="J436" t="str">
        <f t="shared" si="112"/>
        <v>6102</v>
      </c>
      <c r="K436" t="str">
        <f t="shared" si="113"/>
        <v>01</v>
      </c>
      <c r="L436" s="3">
        <v>218.16</v>
      </c>
      <c r="M436" s="5">
        <v>202</v>
      </c>
      <c r="N436" s="7">
        <v>202</v>
      </c>
      <c r="O436" s="3">
        <v>0</v>
      </c>
      <c r="P436" s="7">
        <v>3.33</v>
      </c>
      <c r="Q436" s="7">
        <v>0</v>
      </c>
      <c r="R436" s="7">
        <v>0</v>
      </c>
      <c r="S436" s="7">
        <v>0</v>
      </c>
      <c r="T436" s="7">
        <v>202</v>
      </c>
      <c r="U436" s="3">
        <v>0</v>
      </c>
      <c r="V436" s="7">
        <v>15.35</v>
      </c>
      <c r="W436" s="7">
        <v>0</v>
      </c>
      <c r="X436" s="3">
        <v>0</v>
      </c>
      <c r="Y436" s="7">
        <v>0</v>
      </c>
    </row>
    <row r="437" spans="1:25" x14ac:dyDescent="0.25">
      <c r="A437" t="s">
        <v>25</v>
      </c>
      <c r="B437" t="s">
        <v>97</v>
      </c>
      <c r="C437" t="str">
        <f t="shared" si="106"/>
        <v>1</v>
      </c>
      <c r="D437" t="str">
        <f t="shared" si="104"/>
        <v>5</v>
      </c>
      <c r="E437" t="str">
        <f>"0076277"</f>
        <v>0076277</v>
      </c>
      <c r="F437" t="s">
        <v>108</v>
      </c>
      <c r="G437" t="str">
        <f t="shared" si="110"/>
        <v>81</v>
      </c>
      <c r="H437" t="str">
        <f t="shared" si="111"/>
        <v>01</v>
      </c>
      <c r="I437" t="s">
        <v>81</v>
      </c>
      <c r="J437" t="str">
        <f t="shared" si="112"/>
        <v>6102</v>
      </c>
      <c r="K437" t="str">
        <f t="shared" si="113"/>
        <v>01</v>
      </c>
      <c r="L437" s="3">
        <v>42.54</v>
      </c>
      <c r="M437" s="5">
        <v>39.39</v>
      </c>
      <c r="N437" s="7">
        <v>39.39</v>
      </c>
      <c r="O437" s="3">
        <v>0</v>
      </c>
      <c r="P437" s="7">
        <v>0.65</v>
      </c>
      <c r="Q437" s="7">
        <v>0</v>
      </c>
      <c r="R437" s="7">
        <v>0</v>
      </c>
      <c r="S437" s="7">
        <v>0</v>
      </c>
      <c r="T437" s="7">
        <v>39.39</v>
      </c>
      <c r="U437" s="3">
        <v>0</v>
      </c>
      <c r="V437" s="7">
        <v>2.99</v>
      </c>
      <c r="W437" s="7">
        <v>0</v>
      </c>
      <c r="X437" s="3">
        <v>0</v>
      </c>
      <c r="Y437" s="7">
        <v>0</v>
      </c>
    </row>
    <row r="438" spans="1:25" x14ac:dyDescent="0.25">
      <c r="A438" t="s">
        <v>25</v>
      </c>
      <c r="B438" t="s">
        <v>97</v>
      </c>
      <c r="C438" t="str">
        <f t="shared" si="106"/>
        <v>1</v>
      </c>
      <c r="D438" t="str">
        <f t="shared" ref="D438:D469" si="114">"5"</f>
        <v>5</v>
      </c>
      <c r="E438" t="str">
        <f>"0076277"</f>
        <v>0076277</v>
      </c>
      <c r="F438" t="s">
        <v>108</v>
      </c>
      <c r="G438" t="str">
        <f t="shared" si="110"/>
        <v>81</v>
      </c>
      <c r="H438" t="str">
        <f t="shared" si="111"/>
        <v>01</v>
      </c>
      <c r="I438" t="s">
        <v>84</v>
      </c>
      <c r="J438" t="str">
        <f t="shared" si="112"/>
        <v>6102</v>
      </c>
      <c r="K438" t="str">
        <f t="shared" si="113"/>
        <v>01</v>
      </c>
      <c r="L438" s="3">
        <v>525</v>
      </c>
      <c r="M438" s="5">
        <v>525</v>
      </c>
      <c r="N438" s="7">
        <v>525</v>
      </c>
      <c r="O438" s="3">
        <v>0</v>
      </c>
      <c r="P438" s="7">
        <v>8.66</v>
      </c>
      <c r="Q438" s="7">
        <v>0</v>
      </c>
      <c r="R438" s="7">
        <v>0</v>
      </c>
      <c r="S438" s="7">
        <v>0</v>
      </c>
      <c r="T438" s="7">
        <v>525</v>
      </c>
      <c r="U438" s="3">
        <v>0</v>
      </c>
      <c r="V438" s="7">
        <v>39.9</v>
      </c>
      <c r="W438" s="7">
        <v>0</v>
      </c>
      <c r="X438" s="3">
        <v>0</v>
      </c>
      <c r="Y438" s="7">
        <v>0</v>
      </c>
    </row>
    <row r="439" spans="1:25" x14ac:dyDescent="0.25">
      <c r="A439" t="s">
        <v>25</v>
      </c>
      <c r="B439" t="s">
        <v>97</v>
      </c>
      <c r="C439" t="str">
        <f t="shared" si="106"/>
        <v>1</v>
      </c>
      <c r="D439" t="str">
        <f t="shared" si="114"/>
        <v>5</v>
      </c>
      <c r="E439" t="str">
        <f>"0076279"</f>
        <v>0076279</v>
      </c>
      <c r="F439" t="s">
        <v>108</v>
      </c>
      <c r="G439" t="str">
        <f>"70"</f>
        <v>70</v>
      </c>
      <c r="H439" t="str">
        <f t="shared" si="111"/>
        <v>01</v>
      </c>
      <c r="I439" t="s">
        <v>81</v>
      </c>
      <c r="J439" t="str">
        <f t="shared" si="112"/>
        <v>6102</v>
      </c>
      <c r="K439" t="str">
        <f t="shared" si="113"/>
        <v>01</v>
      </c>
      <c r="L439" s="3">
        <v>47.27</v>
      </c>
      <c r="M439" s="5">
        <v>43.77</v>
      </c>
      <c r="N439" s="7">
        <v>43.77</v>
      </c>
      <c r="O439" s="3">
        <v>0</v>
      </c>
      <c r="P439" s="7">
        <v>0.72</v>
      </c>
      <c r="Q439" s="7">
        <v>0</v>
      </c>
      <c r="R439" s="7">
        <v>0</v>
      </c>
      <c r="S439" s="7">
        <v>0</v>
      </c>
      <c r="T439" s="7">
        <v>43.77</v>
      </c>
      <c r="U439" s="3">
        <v>0</v>
      </c>
      <c r="V439" s="7">
        <v>3.33</v>
      </c>
      <c r="W439" s="7">
        <v>0</v>
      </c>
      <c r="X439" s="3">
        <v>0</v>
      </c>
      <c r="Y439" s="7">
        <v>0</v>
      </c>
    </row>
    <row r="440" spans="1:25" x14ac:dyDescent="0.25">
      <c r="A440" t="s">
        <v>25</v>
      </c>
      <c r="B440" t="s">
        <v>97</v>
      </c>
      <c r="C440" t="str">
        <f t="shared" si="106"/>
        <v>1</v>
      </c>
      <c r="D440" t="str">
        <f t="shared" si="114"/>
        <v>5</v>
      </c>
      <c r="E440" t="str">
        <f>"0076279"</f>
        <v>0076279</v>
      </c>
      <c r="F440" t="s">
        <v>108</v>
      </c>
      <c r="G440" t="str">
        <f>"70"</f>
        <v>70</v>
      </c>
      <c r="H440" t="str">
        <f t="shared" si="111"/>
        <v>01</v>
      </c>
      <c r="I440" t="s">
        <v>84</v>
      </c>
      <c r="J440" t="str">
        <f t="shared" si="112"/>
        <v>6102</v>
      </c>
      <c r="K440" t="str">
        <f t="shared" si="113"/>
        <v>01</v>
      </c>
      <c r="L440" s="3">
        <v>21000</v>
      </c>
      <c r="M440" s="5">
        <v>21000</v>
      </c>
      <c r="N440" s="7">
        <v>21000</v>
      </c>
      <c r="O440" s="3">
        <v>0</v>
      </c>
      <c r="P440" s="7">
        <v>346.5</v>
      </c>
      <c r="Q440" s="7">
        <v>0</v>
      </c>
      <c r="R440" s="7">
        <v>0</v>
      </c>
      <c r="S440" s="7">
        <v>0</v>
      </c>
      <c r="T440" s="7">
        <v>21000</v>
      </c>
      <c r="U440" s="3">
        <v>0</v>
      </c>
      <c r="V440" s="7">
        <v>1596</v>
      </c>
      <c r="W440" s="7">
        <v>0</v>
      </c>
      <c r="X440" s="3">
        <v>0</v>
      </c>
      <c r="Y440" s="7">
        <v>0</v>
      </c>
    </row>
    <row r="441" spans="1:25" x14ac:dyDescent="0.25">
      <c r="A441" t="s">
        <v>25</v>
      </c>
      <c r="B441" t="s">
        <v>97</v>
      </c>
      <c r="C441" t="str">
        <f t="shared" si="106"/>
        <v>1</v>
      </c>
      <c r="D441" t="str">
        <f t="shared" si="114"/>
        <v>5</v>
      </c>
      <c r="E441" t="str">
        <f>"0076279"</f>
        <v>0076279</v>
      </c>
      <c r="F441" t="s">
        <v>108</v>
      </c>
      <c r="G441" t="str">
        <f>"70"</f>
        <v>70</v>
      </c>
      <c r="H441" t="str">
        <f t="shared" si="111"/>
        <v>01</v>
      </c>
      <c r="I441" t="s">
        <v>86</v>
      </c>
      <c r="J441" t="str">
        <f t="shared" si="112"/>
        <v>6102</v>
      </c>
      <c r="K441" t="str">
        <f t="shared" si="113"/>
        <v>01</v>
      </c>
      <c r="L441" s="3">
        <v>4552.2</v>
      </c>
      <c r="M441" s="5">
        <v>4215</v>
      </c>
      <c r="N441" s="7">
        <v>4215</v>
      </c>
      <c r="O441" s="3">
        <v>0</v>
      </c>
      <c r="P441" s="7">
        <v>69.55</v>
      </c>
      <c r="Q441" s="7">
        <v>0</v>
      </c>
      <c r="R441" s="7">
        <v>0</v>
      </c>
      <c r="S441" s="7">
        <v>0</v>
      </c>
      <c r="T441" s="7">
        <v>4215</v>
      </c>
      <c r="U441" s="3">
        <v>0</v>
      </c>
      <c r="V441" s="7">
        <v>320.33999999999997</v>
      </c>
      <c r="W441" s="7">
        <v>0</v>
      </c>
      <c r="X441" s="3">
        <v>0</v>
      </c>
      <c r="Y441" s="7">
        <v>0</v>
      </c>
    </row>
    <row r="442" spans="1:25" x14ac:dyDescent="0.25">
      <c r="A442" t="s">
        <v>25</v>
      </c>
      <c r="B442" t="s">
        <v>97</v>
      </c>
      <c r="C442" t="str">
        <f t="shared" si="106"/>
        <v>1</v>
      </c>
      <c r="D442" t="str">
        <f t="shared" si="114"/>
        <v>5</v>
      </c>
      <c r="E442" t="str">
        <f>"0076316"</f>
        <v>0076316</v>
      </c>
      <c r="F442" t="str">
        <f t="shared" ref="F442:F473" si="115">"6123"</f>
        <v>6123</v>
      </c>
      <c r="G442" t="str">
        <f>"70"</f>
        <v>70</v>
      </c>
      <c r="H442" t="str">
        <f t="shared" si="111"/>
        <v>01</v>
      </c>
      <c r="I442" t="s">
        <v>104</v>
      </c>
      <c r="J442" t="str">
        <f t="shared" si="112"/>
        <v>6102</v>
      </c>
      <c r="K442" t="str">
        <f t="shared" si="113"/>
        <v>01</v>
      </c>
      <c r="L442" s="3">
        <v>109.08</v>
      </c>
      <c r="M442" s="5">
        <v>101</v>
      </c>
      <c r="N442" s="7">
        <v>101</v>
      </c>
      <c r="O442" s="3">
        <v>0</v>
      </c>
      <c r="P442" s="7">
        <v>1.67</v>
      </c>
      <c r="Q442" s="7">
        <v>0</v>
      </c>
      <c r="R442" s="7">
        <v>0</v>
      </c>
      <c r="S442" s="7">
        <v>0</v>
      </c>
      <c r="T442" s="7">
        <v>101</v>
      </c>
      <c r="U442" s="3">
        <v>0</v>
      </c>
      <c r="V442" s="7">
        <v>7.68</v>
      </c>
      <c r="W442" s="7">
        <v>0</v>
      </c>
      <c r="X442" s="3">
        <v>0</v>
      </c>
      <c r="Y442" s="7">
        <v>0</v>
      </c>
    </row>
    <row r="443" spans="1:25" x14ac:dyDescent="0.25">
      <c r="A443" t="s">
        <v>25</v>
      </c>
      <c r="B443" t="s">
        <v>97</v>
      </c>
      <c r="C443" t="str">
        <f t="shared" si="106"/>
        <v>1</v>
      </c>
      <c r="D443" t="str">
        <f t="shared" si="114"/>
        <v>5</v>
      </c>
      <c r="E443" t="str">
        <f>"0076317"</f>
        <v>0076317</v>
      </c>
      <c r="F443" t="str">
        <f t="shared" si="115"/>
        <v>6123</v>
      </c>
      <c r="G443" t="str">
        <f>"81"</f>
        <v>81</v>
      </c>
      <c r="H443" t="str">
        <f t="shared" si="111"/>
        <v>01</v>
      </c>
      <c r="I443" t="s">
        <v>62</v>
      </c>
      <c r="J443" t="str">
        <f t="shared" si="112"/>
        <v>6102</v>
      </c>
      <c r="K443" t="str">
        <f t="shared" si="113"/>
        <v>01</v>
      </c>
      <c r="L443" s="3">
        <v>103</v>
      </c>
      <c r="M443" s="5">
        <v>103</v>
      </c>
      <c r="N443" s="7">
        <v>103</v>
      </c>
      <c r="O443" s="3">
        <v>0</v>
      </c>
      <c r="P443" s="7">
        <v>1.7</v>
      </c>
      <c r="Q443" s="7">
        <v>0</v>
      </c>
      <c r="R443" s="7">
        <v>0</v>
      </c>
      <c r="S443" s="7">
        <v>0</v>
      </c>
      <c r="T443" s="7">
        <v>103</v>
      </c>
      <c r="U443" s="3">
        <v>0</v>
      </c>
      <c r="V443" s="7">
        <v>7.83</v>
      </c>
      <c r="W443" s="7">
        <v>0</v>
      </c>
      <c r="X443" s="3">
        <v>0</v>
      </c>
      <c r="Y443" s="7">
        <v>0</v>
      </c>
    </row>
    <row r="444" spans="1:25" x14ac:dyDescent="0.25">
      <c r="A444" t="s">
        <v>25</v>
      </c>
      <c r="B444" t="s">
        <v>97</v>
      </c>
      <c r="C444" t="str">
        <f t="shared" si="106"/>
        <v>1</v>
      </c>
      <c r="D444" t="str">
        <f t="shared" si="114"/>
        <v>5</v>
      </c>
      <c r="E444" t="str">
        <f>"0076317"</f>
        <v>0076317</v>
      </c>
      <c r="F444" t="str">
        <f t="shared" si="115"/>
        <v>6123</v>
      </c>
      <c r="G444" t="str">
        <f>"81"</f>
        <v>81</v>
      </c>
      <c r="H444" t="str">
        <f t="shared" si="111"/>
        <v>01</v>
      </c>
      <c r="I444" t="s">
        <v>56</v>
      </c>
      <c r="J444" t="str">
        <f t="shared" si="112"/>
        <v>6102</v>
      </c>
      <c r="K444" t="str">
        <f t="shared" si="113"/>
        <v>01</v>
      </c>
      <c r="L444" s="3">
        <v>105</v>
      </c>
      <c r="M444" s="5">
        <v>105</v>
      </c>
      <c r="N444" s="7">
        <v>105</v>
      </c>
      <c r="O444" s="3">
        <v>0</v>
      </c>
      <c r="P444" s="7">
        <v>1.73</v>
      </c>
      <c r="Q444" s="7">
        <v>0</v>
      </c>
      <c r="R444" s="7">
        <v>0</v>
      </c>
      <c r="S444" s="7">
        <v>0</v>
      </c>
      <c r="T444" s="7">
        <v>105</v>
      </c>
      <c r="U444" s="3">
        <v>0</v>
      </c>
      <c r="V444" s="7">
        <v>7.98</v>
      </c>
      <c r="W444" s="7">
        <v>0</v>
      </c>
      <c r="X444" s="3">
        <v>0</v>
      </c>
      <c r="Y444" s="7">
        <v>0</v>
      </c>
    </row>
    <row r="445" spans="1:25" x14ac:dyDescent="0.25">
      <c r="A445" t="s">
        <v>25</v>
      </c>
      <c r="B445" t="s">
        <v>97</v>
      </c>
      <c r="C445" t="str">
        <f t="shared" si="106"/>
        <v>1</v>
      </c>
      <c r="D445" t="str">
        <f t="shared" si="114"/>
        <v>5</v>
      </c>
      <c r="E445" t="str">
        <f>"0076317"</f>
        <v>0076317</v>
      </c>
      <c r="F445" t="str">
        <f t="shared" si="115"/>
        <v>6123</v>
      </c>
      <c r="G445" t="str">
        <f>"81"</f>
        <v>81</v>
      </c>
      <c r="H445" t="str">
        <f t="shared" si="111"/>
        <v>01</v>
      </c>
      <c r="I445" t="s">
        <v>89</v>
      </c>
      <c r="J445" t="str">
        <f t="shared" si="112"/>
        <v>6102</v>
      </c>
      <c r="K445" t="str">
        <f t="shared" si="113"/>
        <v>01</v>
      </c>
      <c r="L445" s="3">
        <v>104</v>
      </c>
      <c r="M445" s="5">
        <v>104</v>
      </c>
      <c r="N445" s="7">
        <v>104</v>
      </c>
      <c r="O445" s="3">
        <v>0</v>
      </c>
      <c r="P445" s="7">
        <v>1.72</v>
      </c>
      <c r="Q445" s="7">
        <v>0</v>
      </c>
      <c r="R445" s="7">
        <v>0</v>
      </c>
      <c r="S445" s="7">
        <v>0</v>
      </c>
      <c r="T445" s="7">
        <v>0</v>
      </c>
      <c r="U445" s="3">
        <v>0</v>
      </c>
      <c r="V445" s="7">
        <v>7.9</v>
      </c>
      <c r="W445" s="7">
        <v>0</v>
      </c>
      <c r="X445" s="3">
        <v>0</v>
      </c>
      <c r="Y445" s="7">
        <v>0</v>
      </c>
    </row>
    <row r="446" spans="1:25" x14ac:dyDescent="0.25">
      <c r="A446" t="s">
        <v>25</v>
      </c>
      <c r="B446" t="s">
        <v>97</v>
      </c>
      <c r="C446" t="str">
        <f t="shared" si="106"/>
        <v>1</v>
      </c>
      <c r="D446" t="str">
        <f t="shared" si="114"/>
        <v>5</v>
      </c>
      <c r="E446" t="str">
        <f>"0076317"</f>
        <v>0076317</v>
      </c>
      <c r="F446" t="str">
        <f t="shared" si="115"/>
        <v>6123</v>
      </c>
      <c r="G446" t="str">
        <f>"81"</f>
        <v>81</v>
      </c>
      <c r="H446" t="str">
        <f t="shared" si="111"/>
        <v>01</v>
      </c>
      <c r="I446" t="s">
        <v>75</v>
      </c>
      <c r="J446" t="str">
        <f t="shared" si="112"/>
        <v>6102</v>
      </c>
      <c r="K446" t="str">
        <f t="shared" si="113"/>
        <v>01</v>
      </c>
      <c r="L446" s="3">
        <v>102</v>
      </c>
      <c r="M446" s="5">
        <v>102</v>
      </c>
      <c r="N446" s="7">
        <v>102</v>
      </c>
      <c r="O446" s="3">
        <v>0</v>
      </c>
      <c r="P446" s="7">
        <v>1.68</v>
      </c>
      <c r="Q446" s="7">
        <v>0</v>
      </c>
      <c r="R446" s="7">
        <v>0</v>
      </c>
      <c r="S446" s="7">
        <v>0</v>
      </c>
      <c r="T446" s="7">
        <v>102</v>
      </c>
      <c r="U446" s="3">
        <v>0</v>
      </c>
      <c r="V446" s="7">
        <v>7.75</v>
      </c>
      <c r="W446" s="7">
        <v>0</v>
      </c>
      <c r="X446" s="3">
        <v>0</v>
      </c>
      <c r="Y446" s="7">
        <v>0</v>
      </c>
    </row>
    <row r="447" spans="1:25" x14ac:dyDescent="0.25">
      <c r="A447" t="s">
        <v>25</v>
      </c>
      <c r="B447" t="s">
        <v>97</v>
      </c>
      <c r="C447" t="str">
        <f t="shared" si="106"/>
        <v>1</v>
      </c>
      <c r="D447" t="str">
        <f t="shared" si="114"/>
        <v>5</v>
      </c>
      <c r="E447" t="str">
        <f>"0076319"</f>
        <v>0076319</v>
      </c>
      <c r="F447" t="str">
        <f t="shared" si="115"/>
        <v>6123</v>
      </c>
      <c r="G447" t="str">
        <f>"70"</f>
        <v>70</v>
      </c>
      <c r="H447" t="str">
        <f t="shared" si="111"/>
        <v>01</v>
      </c>
      <c r="I447" t="s">
        <v>104</v>
      </c>
      <c r="J447" t="str">
        <f t="shared" si="112"/>
        <v>6102</v>
      </c>
      <c r="K447" t="str">
        <f t="shared" si="113"/>
        <v>01</v>
      </c>
      <c r="L447" s="3">
        <v>109.08</v>
      </c>
      <c r="M447" s="5">
        <v>101</v>
      </c>
      <c r="N447" s="7">
        <v>101</v>
      </c>
      <c r="O447" s="3">
        <v>0</v>
      </c>
      <c r="P447" s="7">
        <v>1.67</v>
      </c>
      <c r="Q447" s="7">
        <v>0</v>
      </c>
      <c r="R447" s="7">
        <v>0</v>
      </c>
      <c r="S447" s="7">
        <v>0</v>
      </c>
      <c r="T447" s="7">
        <v>101</v>
      </c>
      <c r="U447" s="3">
        <v>0</v>
      </c>
      <c r="V447" s="7">
        <v>7.68</v>
      </c>
      <c r="W447" s="7">
        <v>0</v>
      </c>
      <c r="X447" s="3">
        <v>0</v>
      </c>
      <c r="Y447" s="7">
        <v>0</v>
      </c>
    </row>
    <row r="448" spans="1:25" x14ac:dyDescent="0.25">
      <c r="A448" t="s">
        <v>25</v>
      </c>
      <c r="B448" t="s">
        <v>97</v>
      </c>
      <c r="C448" t="str">
        <f t="shared" ref="C448:C479" si="116">"1"</f>
        <v>1</v>
      </c>
      <c r="D448" t="str">
        <f t="shared" si="114"/>
        <v>5</v>
      </c>
      <c r="E448" t="str">
        <f>"0076319"</f>
        <v>0076319</v>
      </c>
      <c r="F448" t="str">
        <f t="shared" si="115"/>
        <v>6123</v>
      </c>
      <c r="G448" t="str">
        <f>"70"</f>
        <v>70</v>
      </c>
      <c r="H448" t="str">
        <f t="shared" si="111"/>
        <v>01</v>
      </c>
      <c r="I448" t="s">
        <v>89</v>
      </c>
      <c r="J448" t="str">
        <f t="shared" si="112"/>
        <v>6102</v>
      </c>
      <c r="K448" t="str">
        <f>"04"</f>
        <v>04</v>
      </c>
      <c r="L448" s="3">
        <v>104</v>
      </c>
      <c r="M448" s="5">
        <v>104</v>
      </c>
      <c r="N448" s="7">
        <v>104</v>
      </c>
      <c r="O448" s="3">
        <v>0</v>
      </c>
      <c r="P448" s="7">
        <v>1.72</v>
      </c>
      <c r="Q448" s="7">
        <v>0</v>
      </c>
      <c r="R448" s="7">
        <v>0</v>
      </c>
      <c r="S448" s="7">
        <v>0</v>
      </c>
      <c r="T448" s="7">
        <v>0</v>
      </c>
      <c r="U448" s="3">
        <v>0</v>
      </c>
      <c r="V448" s="7">
        <v>7.9</v>
      </c>
      <c r="W448" s="7">
        <v>0</v>
      </c>
      <c r="X448" s="3">
        <v>0</v>
      </c>
      <c r="Y448" s="7">
        <v>0</v>
      </c>
    </row>
    <row r="449" spans="1:25" x14ac:dyDescent="0.25">
      <c r="A449" t="s">
        <v>25</v>
      </c>
      <c r="B449" t="s">
        <v>97</v>
      </c>
      <c r="C449" t="str">
        <f t="shared" si="116"/>
        <v>1</v>
      </c>
      <c r="D449" t="str">
        <f t="shared" si="114"/>
        <v>5</v>
      </c>
      <c r="E449" t="str">
        <f>"0076320"</f>
        <v>0076320</v>
      </c>
      <c r="F449" t="str">
        <f t="shared" si="115"/>
        <v>6123</v>
      </c>
      <c r="G449" t="str">
        <f>"81"</f>
        <v>81</v>
      </c>
      <c r="H449" t="str">
        <f t="shared" si="111"/>
        <v>01</v>
      </c>
      <c r="I449" t="s">
        <v>104</v>
      </c>
      <c r="J449" t="str">
        <f t="shared" si="112"/>
        <v>6102</v>
      </c>
      <c r="K449" t="str">
        <f>"01"</f>
        <v>01</v>
      </c>
      <c r="L449" s="3">
        <v>109.08</v>
      </c>
      <c r="M449" s="5">
        <v>101</v>
      </c>
      <c r="N449" s="7">
        <v>101</v>
      </c>
      <c r="O449" s="3">
        <v>0</v>
      </c>
      <c r="P449" s="7">
        <v>1.67</v>
      </c>
      <c r="Q449" s="7">
        <v>0</v>
      </c>
      <c r="R449" s="7">
        <v>0</v>
      </c>
      <c r="S449" s="7">
        <v>0</v>
      </c>
      <c r="T449" s="7">
        <v>101</v>
      </c>
      <c r="U449" s="3">
        <v>0</v>
      </c>
      <c r="V449" s="7">
        <v>7.68</v>
      </c>
      <c r="W449" s="7">
        <v>0</v>
      </c>
      <c r="X449" s="3">
        <v>0</v>
      </c>
      <c r="Y449" s="7">
        <v>0</v>
      </c>
    </row>
    <row r="450" spans="1:25" x14ac:dyDescent="0.25">
      <c r="A450" t="s">
        <v>25</v>
      </c>
      <c r="B450" t="s">
        <v>97</v>
      </c>
      <c r="C450" t="str">
        <f t="shared" si="116"/>
        <v>1</v>
      </c>
      <c r="D450" t="str">
        <f t="shared" si="114"/>
        <v>5</v>
      </c>
      <c r="E450" t="str">
        <f>"0076320"</f>
        <v>0076320</v>
      </c>
      <c r="F450" t="str">
        <f t="shared" si="115"/>
        <v>6123</v>
      </c>
      <c r="G450" t="str">
        <f>"81"</f>
        <v>81</v>
      </c>
      <c r="H450" t="str">
        <f t="shared" si="111"/>
        <v>01</v>
      </c>
      <c r="I450" t="s">
        <v>89</v>
      </c>
      <c r="J450" t="str">
        <f t="shared" si="112"/>
        <v>6102</v>
      </c>
      <c r="K450" t="str">
        <f>"04"</f>
        <v>04</v>
      </c>
      <c r="L450" s="3">
        <v>104</v>
      </c>
      <c r="M450" s="5">
        <v>104</v>
      </c>
      <c r="N450" s="7">
        <v>104</v>
      </c>
      <c r="O450" s="3">
        <v>0</v>
      </c>
      <c r="P450" s="7">
        <v>1.72</v>
      </c>
      <c r="Q450" s="7">
        <v>0</v>
      </c>
      <c r="R450" s="7">
        <v>0</v>
      </c>
      <c r="S450" s="7">
        <v>0</v>
      </c>
      <c r="T450" s="7">
        <v>0</v>
      </c>
      <c r="U450" s="3">
        <v>0</v>
      </c>
      <c r="V450" s="7">
        <v>7.9</v>
      </c>
      <c r="W450" s="7">
        <v>0</v>
      </c>
      <c r="X450" s="3">
        <v>0</v>
      </c>
      <c r="Y450" s="7">
        <v>0</v>
      </c>
    </row>
    <row r="451" spans="1:25" x14ac:dyDescent="0.25">
      <c r="A451" t="s">
        <v>25</v>
      </c>
      <c r="B451" t="s">
        <v>97</v>
      </c>
      <c r="C451" t="str">
        <f t="shared" si="116"/>
        <v>1</v>
      </c>
      <c r="D451" t="str">
        <f t="shared" si="114"/>
        <v>5</v>
      </c>
      <c r="E451" t="str">
        <f>"0076321"</f>
        <v>0076321</v>
      </c>
      <c r="F451" t="str">
        <f t="shared" si="115"/>
        <v>6123</v>
      </c>
      <c r="G451" t="str">
        <f>"70"</f>
        <v>70</v>
      </c>
      <c r="H451" t="str">
        <f t="shared" si="111"/>
        <v>01</v>
      </c>
      <c r="I451" t="s">
        <v>104</v>
      </c>
      <c r="J451" t="str">
        <f t="shared" si="112"/>
        <v>6102</v>
      </c>
      <c r="K451" t="str">
        <f>"01"</f>
        <v>01</v>
      </c>
      <c r="L451" s="3">
        <v>109.08</v>
      </c>
      <c r="M451" s="5">
        <v>101</v>
      </c>
      <c r="N451" s="7">
        <v>101</v>
      </c>
      <c r="O451" s="3">
        <v>0</v>
      </c>
      <c r="P451" s="7">
        <v>1.67</v>
      </c>
      <c r="Q451" s="7">
        <v>0</v>
      </c>
      <c r="R451" s="7">
        <v>0</v>
      </c>
      <c r="S451" s="7">
        <v>0</v>
      </c>
      <c r="T451" s="7">
        <v>101</v>
      </c>
      <c r="U451" s="3">
        <v>0</v>
      </c>
      <c r="V451" s="7">
        <v>7.68</v>
      </c>
      <c r="W451" s="7">
        <v>0</v>
      </c>
      <c r="X451" s="3">
        <v>0</v>
      </c>
      <c r="Y451" s="7">
        <v>0</v>
      </c>
    </row>
    <row r="452" spans="1:25" x14ac:dyDescent="0.25">
      <c r="A452" t="s">
        <v>25</v>
      </c>
      <c r="B452" t="s">
        <v>97</v>
      </c>
      <c r="C452" t="str">
        <f t="shared" si="116"/>
        <v>1</v>
      </c>
      <c r="D452" t="str">
        <f t="shared" si="114"/>
        <v>5</v>
      </c>
      <c r="E452" t="str">
        <f>"0076321"</f>
        <v>0076321</v>
      </c>
      <c r="F452" t="str">
        <f t="shared" si="115"/>
        <v>6123</v>
      </c>
      <c r="G452" t="str">
        <f>"70"</f>
        <v>70</v>
      </c>
      <c r="H452" t="str">
        <f t="shared" si="111"/>
        <v>01</v>
      </c>
      <c r="I452" t="s">
        <v>89</v>
      </c>
      <c r="J452" t="str">
        <f t="shared" si="112"/>
        <v>6102</v>
      </c>
      <c r="K452" t="str">
        <f>"04"</f>
        <v>04</v>
      </c>
      <c r="L452" s="3">
        <v>104</v>
      </c>
      <c r="M452" s="5">
        <v>104</v>
      </c>
      <c r="N452" s="7">
        <v>104</v>
      </c>
      <c r="O452" s="3">
        <v>0</v>
      </c>
      <c r="P452" s="7">
        <v>1.72</v>
      </c>
      <c r="Q452" s="7">
        <v>0</v>
      </c>
      <c r="R452" s="7">
        <v>0</v>
      </c>
      <c r="S452" s="7">
        <v>0</v>
      </c>
      <c r="T452" s="7">
        <v>0</v>
      </c>
      <c r="U452" s="3">
        <v>0</v>
      </c>
      <c r="V452" s="7">
        <v>7.9</v>
      </c>
      <c r="W452" s="7">
        <v>0</v>
      </c>
      <c r="X452" s="3">
        <v>0</v>
      </c>
      <c r="Y452" s="7">
        <v>0</v>
      </c>
    </row>
    <row r="453" spans="1:25" x14ac:dyDescent="0.25">
      <c r="A453" t="s">
        <v>25</v>
      </c>
      <c r="B453" t="s">
        <v>97</v>
      </c>
      <c r="C453" t="str">
        <f t="shared" si="116"/>
        <v>1</v>
      </c>
      <c r="D453" t="str">
        <f t="shared" si="114"/>
        <v>5</v>
      </c>
      <c r="E453" t="str">
        <f>"0076322"</f>
        <v>0076322</v>
      </c>
      <c r="F453" t="str">
        <f t="shared" si="115"/>
        <v>6123</v>
      </c>
      <c r="G453" t="str">
        <f t="shared" ref="G453:G460" si="117">"81"</f>
        <v>81</v>
      </c>
      <c r="H453" t="str">
        <f t="shared" si="111"/>
        <v>01</v>
      </c>
      <c r="I453" t="s">
        <v>109</v>
      </c>
      <c r="J453" t="str">
        <f t="shared" si="112"/>
        <v>6102</v>
      </c>
      <c r="K453" t="str">
        <f t="shared" ref="K453:K461" si="118">"01"</f>
        <v>01</v>
      </c>
      <c r="L453" s="3">
        <v>1040</v>
      </c>
      <c r="M453" s="5">
        <v>1040</v>
      </c>
      <c r="N453" s="7">
        <v>1040</v>
      </c>
      <c r="O453" s="3">
        <v>0</v>
      </c>
      <c r="P453" s="7">
        <v>17.16</v>
      </c>
      <c r="Q453" s="7">
        <v>0</v>
      </c>
      <c r="R453" s="7">
        <v>0</v>
      </c>
      <c r="S453" s="7">
        <v>0</v>
      </c>
      <c r="T453" s="7">
        <v>0</v>
      </c>
      <c r="U453" s="3">
        <v>0</v>
      </c>
      <c r="V453" s="7">
        <v>79.040000000000006</v>
      </c>
      <c r="W453" s="7">
        <v>0</v>
      </c>
      <c r="X453" s="3">
        <v>0</v>
      </c>
      <c r="Y453" s="7">
        <v>0</v>
      </c>
    </row>
    <row r="454" spans="1:25" x14ac:dyDescent="0.25">
      <c r="A454" t="s">
        <v>25</v>
      </c>
      <c r="B454" t="s">
        <v>97</v>
      </c>
      <c r="C454" t="str">
        <f t="shared" si="116"/>
        <v>1</v>
      </c>
      <c r="D454" t="str">
        <f t="shared" si="114"/>
        <v>5</v>
      </c>
      <c r="E454" t="str">
        <f>"0076322"</f>
        <v>0076322</v>
      </c>
      <c r="F454" t="str">
        <f t="shared" si="115"/>
        <v>6123</v>
      </c>
      <c r="G454" t="str">
        <f t="shared" si="117"/>
        <v>81</v>
      </c>
      <c r="H454" t="str">
        <f t="shared" si="111"/>
        <v>01</v>
      </c>
      <c r="I454" t="s">
        <v>86</v>
      </c>
      <c r="J454" t="str">
        <f t="shared" si="112"/>
        <v>6102</v>
      </c>
      <c r="K454" t="str">
        <f t="shared" si="118"/>
        <v>01</v>
      </c>
      <c r="L454" s="3">
        <v>1090.8</v>
      </c>
      <c r="M454" s="5">
        <v>1010</v>
      </c>
      <c r="N454" s="7">
        <v>1010</v>
      </c>
      <c r="O454" s="3">
        <v>0</v>
      </c>
      <c r="P454" s="7">
        <v>16.670000000000002</v>
      </c>
      <c r="Q454" s="7">
        <v>0</v>
      </c>
      <c r="R454" s="7">
        <v>0</v>
      </c>
      <c r="S454" s="7">
        <v>0</v>
      </c>
      <c r="T454" s="7">
        <v>1010</v>
      </c>
      <c r="U454" s="3">
        <v>0</v>
      </c>
      <c r="V454" s="7">
        <v>76.760000000000005</v>
      </c>
      <c r="W454" s="7">
        <v>0</v>
      </c>
      <c r="X454" s="3">
        <v>0</v>
      </c>
      <c r="Y454" s="7">
        <v>0</v>
      </c>
    </row>
    <row r="455" spans="1:25" x14ac:dyDescent="0.25">
      <c r="A455" t="s">
        <v>25</v>
      </c>
      <c r="B455" t="s">
        <v>97</v>
      </c>
      <c r="C455" t="str">
        <f t="shared" si="116"/>
        <v>1</v>
      </c>
      <c r="D455" t="str">
        <f t="shared" si="114"/>
        <v>5</v>
      </c>
      <c r="E455" t="str">
        <f>"0076322"</f>
        <v>0076322</v>
      </c>
      <c r="F455" t="str">
        <f t="shared" si="115"/>
        <v>6123</v>
      </c>
      <c r="G455" t="str">
        <f t="shared" si="117"/>
        <v>81</v>
      </c>
      <c r="H455" t="str">
        <f t="shared" si="111"/>
        <v>01</v>
      </c>
      <c r="I455" t="s">
        <v>84</v>
      </c>
      <c r="J455" t="str">
        <f t="shared" si="112"/>
        <v>6102</v>
      </c>
      <c r="K455" t="str">
        <f t="shared" si="118"/>
        <v>01</v>
      </c>
      <c r="L455" s="3">
        <v>1050</v>
      </c>
      <c r="M455" s="5">
        <v>1050</v>
      </c>
      <c r="N455" s="7">
        <v>1050</v>
      </c>
      <c r="O455" s="3">
        <v>0</v>
      </c>
      <c r="P455" s="7">
        <v>17.329999999999998</v>
      </c>
      <c r="Q455" s="7">
        <v>0</v>
      </c>
      <c r="R455" s="7">
        <v>0</v>
      </c>
      <c r="S455" s="7">
        <v>0</v>
      </c>
      <c r="T455" s="7">
        <v>1050</v>
      </c>
      <c r="U455" s="3">
        <v>0</v>
      </c>
      <c r="V455" s="7">
        <v>79.8</v>
      </c>
      <c r="W455" s="7">
        <v>0</v>
      </c>
      <c r="X455" s="3">
        <v>0</v>
      </c>
      <c r="Y455" s="7">
        <v>0</v>
      </c>
    </row>
    <row r="456" spans="1:25" x14ac:dyDescent="0.25">
      <c r="A456" t="s">
        <v>25</v>
      </c>
      <c r="B456" t="s">
        <v>97</v>
      </c>
      <c r="C456" t="str">
        <f t="shared" si="116"/>
        <v>1</v>
      </c>
      <c r="D456" t="str">
        <f t="shared" si="114"/>
        <v>5</v>
      </c>
      <c r="E456" t="str">
        <f>"0076323"</f>
        <v>0076323</v>
      </c>
      <c r="F456" t="str">
        <f t="shared" si="115"/>
        <v>6123</v>
      </c>
      <c r="G456" t="str">
        <f t="shared" si="117"/>
        <v>81</v>
      </c>
      <c r="H456" t="str">
        <f t="shared" si="111"/>
        <v>01</v>
      </c>
      <c r="I456" t="s">
        <v>85</v>
      </c>
      <c r="J456" t="str">
        <f t="shared" si="112"/>
        <v>6102</v>
      </c>
      <c r="K456" t="str">
        <f t="shared" si="118"/>
        <v>01</v>
      </c>
      <c r="L456" s="3">
        <v>1296</v>
      </c>
      <c r="M456" s="5">
        <v>1296</v>
      </c>
      <c r="N456" s="7">
        <v>1296</v>
      </c>
      <c r="O456" s="3">
        <v>0</v>
      </c>
      <c r="P456" s="7">
        <v>21.38</v>
      </c>
      <c r="Q456" s="7">
        <v>0</v>
      </c>
      <c r="R456" s="7">
        <v>0</v>
      </c>
      <c r="S456" s="7">
        <v>0</v>
      </c>
      <c r="T456" s="7">
        <v>1296</v>
      </c>
      <c r="U456" s="3">
        <v>0</v>
      </c>
      <c r="V456" s="7">
        <v>98.5</v>
      </c>
      <c r="W456" s="7">
        <v>0</v>
      </c>
      <c r="X456" s="3">
        <v>0</v>
      </c>
      <c r="Y456" s="7">
        <v>0</v>
      </c>
    </row>
    <row r="457" spans="1:25" x14ac:dyDescent="0.25">
      <c r="A457" t="s">
        <v>25</v>
      </c>
      <c r="B457" t="s">
        <v>97</v>
      </c>
      <c r="C457" t="str">
        <f t="shared" si="116"/>
        <v>1</v>
      </c>
      <c r="D457" t="str">
        <f t="shared" si="114"/>
        <v>5</v>
      </c>
      <c r="E457" t="str">
        <f>"0076323"</f>
        <v>0076323</v>
      </c>
      <c r="F457" t="str">
        <f t="shared" si="115"/>
        <v>6123</v>
      </c>
      <c r="G457" t="str">
        <f t="shared" si="117"/>
        <v>81</v>
      </c>
      <c r="H457" t="str">
        <f t="shared" si="111"/>
        <v>01</v>
      </c>
      <c r="I457" t="s">
        <v>114</v>
      </c>
      <c r="J457" t="str">
        <f t="shared" si="112"/>
        <v>6102</v>
      </c>
      <c r="K457" t="str">
        <f t="shared" si="118"/>
        <v>01</v>
      </c>
      <c r="L457" s="3">
        <v>1284</v>
      </c>
      <c r="M457" s="5">
        <v>1284</v>
      </c>
      <c r="N457" s="7">
        <v>1284</v>
      </c>
      <c r="O457" s="3">
        <v>0</v>
      </c>
      <c r="P457" s="7">
        <v>21.19</v>
      </c>
      <c r="Q457" s="7">
        <v>0</v>
      </c>
      <c r="R457" s="7">
        <v>0</v>
      </c>
      <c r="S457" s="7">
        <v>0</v>
      </c>
      <c r="T457" s="7">
        <v>1284</v>
      </c>
      <c r="U457" s="3">
        <v>0</v>
      </c>
      <c r="V457" s="7">
        <v>97.58</v>
      </c>
      <c r="W457" s="7">
        <v>0</v>
      </c>
      <c r="X457" s="3">
        <v>0</v>
      </c>
      <c r="Y457" s="7">
        <v>0</v>
      </c>
    </row>
    <row r="458" spans="1:25" x14ac:dyDescent="0.25">
      <c r="A458" t="s">
        <v>25</v>
      </c>
      <c r="B458" t="s">
        <v>97</v>
      </c>
      <c r="C458" t="str">
        <f t="shared" si="116"/>
        <v>1</v>
      </c>
      <c r="D458" t="str">
        <f t="shared" si="114"/>
        <v>5</v>
      </c>
      <c r="E458" t="str">
        <f>"0076324"</f>
        <v>0076324</v>
      </c>
      <c r="F458" t="str">
        <f t="shared" si="115"/>
        <v>6123</v>
      </c>
      <c r="G458" t="str">
        <f t="shared" si="117"/>
        <v>81</v>
      </c>
      <c r="H458" t="str">
        <f t="shared" si="111"/>
        <v>01</v>
      </c>
      <c r="I458" t="s">
        <v>104</v>
      </c>
      <c r="J458" t="str">
        <f t="shared" si="112"/>
        <v>6102</v>
      </c>
      <c r="K458" t="str">
        <f t="shared" si="118"/>
        <v>01</v>
      </c>
      <c r="L458" s="3">
        <v>109.08</v>
      </c>
      <c r="M458" s="5">
        <v>101</v>
      </c>
      <c r="N458" s="7">
        <v>101</v>
      </c>
      <c r="O458" s="3">
        <v>0</v>
      </c>
      <c r="P458" s="7">
        <v>1.67</v>
      </c>
      <c r="Q458" s="7">
        <v>0</v>
      </c>
      <c r="R458" s="7">
        <v>0</v>
      </c>
      <c r="S458" s="7">
        <v>0</v>
      </c>
      <c r="T458" s="7">
        <v>101</v>
      </c>
      <c r="U458" s="3">
        <v>0</v>
      </c>
      <c r="V458" s="7">
        <v>7.68</v>
      </c>
      <c r="W458" s="7">
        <v>0</v>
      </c>
      <c r="X458" s="3">
        <v>0</v>
      </c>
      <c r="Y458" s="7">
        <v>0</v>
      </c>
    </row>
    <row r="459" spans="1:25" x14ac:dyDescent="0.25">
      <c r="A459" t="s">
        <v>25</v>
      </c>
      <c r="B459" t="s">
        <v>97</v>
      </c>
      <c r="C459" t="str">
        <f t="shared" si="116"/>
        <v>1</v>
      </c>
      <c r="D459" t="str">
        <f t="shared" si="114"/>
        <v>5</v>
      </c>
      <c r="E459" t="str">
        <f>"0076324"</f>
        <v>0076324</v>
      </c>
      <c r="F459" t="str">
        <f t="shared" si="115"/>
        <v>6123</v>
      </c>
      <c r="G459" t="str">
        <f t="shared" si="117"/>
        <v>81</v>
      </c>
      <c r="H459" t="str">
        <f t="shared" si="111"/>
        <v>01</v>
      </c>
      <c r="I459" t="s">
        <v>89</v>
      </c>
      <c r="J459" t="str">
        <f t="shared" si="112"/>
        <v>6102</v>
      </c>
      <c r="K459" t="str">
        <f t="shared" si="118"/>
        <v>01</v>
      </c>
      <c r="L459" s="3">
        <v>208</v>
      </c>
      <c r="M459" s="5">
        <v>208</v>
      </c>
      <c r="N459" s="7">
        <v>208</v>
      </c>
      <c r="O459" s="3">
        <v>0</v>
      </c>
      <c r="P459" s="7">
        <v>3.43</v>
      </c>
      <c r="Q459" s="7">
        <v>0</v>
      </c>
      <c r="R459" s="7">
        <v>0</v>
      </c>
      <c r="S459" s="7">
        <v>0</v>
      </c>
      <c r="T459" s="7">
        <v>0</v>
      </c>
      <c r="U459" s="3">
        <v>0</v>
      </c>
      <c r="V459" s="7">
        <v>15.81</v>
      </c>
      <c r="W459" s="7">
        <v>0</v>
      </c>
      <c r="X459" s="3">
        <v>0</v>
      </c>
      <c r="Y459" s="7">
        <v>0</v>
      </c>
    </row>
    <row r="460" spans="1:25" x14ac:dyDescent="0.25">
      <c r="A460" t="s">
        <v>25</v>
      </c>
      <c r="B460" t="s">
        <v>97</v>
      </c>
      <c r="C460" t="str">
        <f t="shared" si="116"/>
        <v>1</v>
      </c>
      <c r="D460" t="str">
        <f t="shared" si="114"/>
        <v>5</v>
      </c>
      <c r="E460" t="str">
        <f>"0076324"</f>
        <v>0076324</v>
      </c>
      <c r="F460" t="str">
        <f t="shared" si="115"/>
        <v>6123</v>
      </c>
      <c r="G460" t="str">
        <f t="shared" si="117"/>
        <v>81</v>
      </c>
      <c r="H460" t="str">
        <f t="shared" si="111"/>
        <v>01</v>
      </c>
      <c r="I460" t="s">
        <v>56</v>
      </c>
      <c r="J460" t="str">
        <f t="shared" si="112"/>
        <v>6102</v>
      </c>
      <c r="K460" t="str">
        <f t="shared" si="118"/>
        <v>01</v>
      </c>
      <c r="L460" s="3">
        <v>315</v>
      </c>
      <c r="M460" s="5">
        <v>315</v>
      </c>
      <c r="N460" s="7">
        <v>315</v>
      </c>
      <c r="O460" s="3">
        <v>0</v>
      </c>
      <c r="P460" s="7">
        <v>5.2</v>
      </c>
      <c r="Q460" s="7">
        <v>0</v>
      </c>
      <c r="R460" s="7">
        <v>0</v>
      </c>
      <c r="S460" s="7">
        <v>0</v>
      </c>
      <c r="T460" s="7">
        <v>315</v>
      </c>
      <c r="U460" s="3">
        <v>0</v>
      </c>
      <c r="V460" s="7">
        <v>23.94</v>
      </c>
      <c r="W460" s="7">
        <v>0</v>
      </c>
      <c r="X460" s="3">
        <v>0</v>
      </c>
      <c r="Y460" s="7">
        <v>0</v>
      </c>
    </row>
    <row r="461" spans="1:25" x14ac:dyDescent="0.25">
      <c r="A461" t="s">
        <v>25</v>
      </c>
      <c r="B461" t="s">
        <v>97</v>
      </c>
      <c r="C461" t="str">
        <f t="shared" si="116"/>
        <v>1</v>
      </c>
      <c r="D461" t="str">
        <f t="shared" si="114"/>
        <v>5</v>
      </c>
      <c r="E461" t="str">
        <f>"0076327"</f>
        <v>0076327</v>
      </c>
      <c r="F461" t="str">
        <f t="shared" si="115"/>
        <v>6123</v>
      </c>
      <c r="G461" t="str">
        <f>"70"</f>
        <v>70</v>
      </c>
      <c r="H461" t="str">
        <f t="shared" si="111"/>
        <v>01</v>
      </c>
      <c r="I461" t="s">
        <v>86</v>
      </c>
      <c r="J461" t="str">
        <f t="shared" si="112"/>
        <v>6102</v>
      </c>
      <c r="K461" t="str">
        <f t="shared" si="118"/>
        <v>01</v>
      </c>
      <c r="L461" s="3">
        <v>218.16</v>
      </c>
      <c r="M461" s="5">
        <v>202</v>
      </c>
      <c r="N461" s="7">
        <v>202</v>
      </c>
      <c r="O461" s="3">
        <v>0</v>
      </c>
      <c r="P461" s="7">
        <v>3.33</v>
      </c>
      <c r="Q461" s="7">
        <v>0</v>
      </c>
      <c r="R461" s="7">
        <v>0</v>
      </c>
      <c r="S461" s="7">
        <v>0</v>
      </c>
      <c r="T461" s="7">
        <v>202</v>
      </c>
      <c r="U461" s="3">
        <v>0</v>
      </c>
      <c r="V461" s="7">
        <v>15.35</v>
      </c>
      <c r="W461" s="7">
        <v>0</v>
      </c>
      <c r="X461" s="3">
        <v>0</v>
      </c>
      <c r="Y461" s="7">
        <v>0</v>
      </c>
    </row>
    <row r="462" spans="1:25" x14ac:dyDescent="0.25">
      <c r="A462" t="s">
        <v>25</v>
      </c>
      <c r="B462" t="s">
        <v>97</v>
      </c>
      <c r="C462" t="str">
        <f t="shared" si="116"/>
        <v>1</v>
      </c>
      <c r="D462" t="str">
        <f t="shared" si="114"/>
        <v>5</v>
      </c>
      <c r="E462" t="str">
        <f>"0076327"</f>
        <v>0076327</v>
      </c>
      <c r="F462" t="str">
        <f t="shared" si="115"/>
        <v>6123</v>
      </c>
      <c r="G462" t="str">
        <f>"70"</f>
        <v>70</v>
      </c>
      <c r="H462" t="str">
        <f t="shared" si="111"/>
        <v>01</v>
      </c>
      <c r="I462" t="s">
        <v>109</v>
      </c>
      <c r="J462" t="str">
        <f t="shared" si="112"/>
        <v>6102</v>
      </c>
      <c r="K462" t="str">
        <f>"04"</f>
        <v>04</v>
      </c>
      <c r="L462" s="3">
        <v>208</v>
      </c>
      <c r="M462" s="5">
        <v>208</v>
      </c>
      <c r="N462" s="7">
        <v>208</v>
      </c>
      <c r="O462" s="3">
        <v>0</v>
      </c>
      <c r="P462" s="7">
        <v>3.43</v>
      </c>
      <c r="Q462" s="7">
        <v>0</v>
      </c>
      <c r="R462" s="7">
        <v>0</v>
      </c>
      <c r="S462" s="7">
        <v>0</v>
      </c>
      <c r="T462" s="7">
        <v>0</v>
      </c>
      <c r="U462" s="3">
        <v>0</v>
      </c>
      <c r="V462" s="7">
        <v>15.81</v>
      </c>
      <c r="W462" s="7">
        <v>0</v>
      </c>
      <c r="X462" s="3">
        <v>0</v>
      </c>
      <c r="Y462" s="7">
        <v>0</v>
      </c>
    </row>
    <row r="463" spans="1:25" x14ac:dyDescent="0.25">
      <c r="A463" t="s">
        <v>25</v>
      </c>
      <c r="B463" t="s">
        <v>97</v>
      </c>
      <c r="C463" t="str">
        <f t="shared" si="116"/>
        <v>1</v>
      </c>
      <c r="D463" t="str">
        <f t="shared" si="114"/>
        <v>5</v>
      </c>
      <c r="E463" t="str">
        <f>"0076329"</f>
        <v>0076329</v>
      </c>
      <c r="F463" t="str">
        <f t="shared" si="115"/>
        <v>6123</v>
      </c>
      <c r="G463" t="str">
        <f>"1"</f>
        <v>1</v>
      </c>
      <c r="H463" t="str">
        <f t="shared" si="111"/>
        <v>01</v>
      </c>
      <c r="I463" t="s">
        <v>95</v>
      </c>
      <c r="J463" t="str">
        <f t="shared" si="112"/>
        <v>6102</v>
      </c>
      <c r="K463" t="str">
        <f>"01"</f>
        <v>01</v>
      </c>
      <c r="L463" s="3">
        <v>93.5</v>
      </c>
      <c r="M463" s="5">
        <v>93.5</v>
      </c>
      <c r="N463" s="7">
        <v>93.5</v>
      </c>
      <c r="O463" s="3">
        <v>0</v>
      </c>
      <c r="P463" s="7">
        <v>1.54</v>
      </c>
      <c r="Q463" s="7">
        <v>0</v>
      </c>
      <c r="R463" s="7">
        <v>0</v>
      </c>
      <c r="S463" s="7">
        <v>0</v>
      </c>
      <c r="T463" s="7">
        <v>93.5</v>
      </c>
      <c r="U463" s="3">
        <v>0</v>
      </c>
      <c r="V463" s="7">
        <v>7.11</v>
      </c>
      <c r="W463" s="7">
        <v>0</v>
      </c>
      <c r="X463" s="3">
        <v>0</v>
      </c>
      <c r="Y463" s="7">
        <v>0</v>
      </c>
    </row>
    <row r="464" spans="1:25" x14ac:dyDescent="0.25">
      <c r="A464" t="s">
        <v>25</v>
      </c>
      <c r="B464" t="s">
        <v>97</v>
      </c>
      <c r="C464" t="str">
        <f t="shared" si="116"/>
        <v>1</v>
      </c>
      <c r="D464" t="str">
        <f t="shared" si="114"/>
        <v>5</v>
      </c>
      <c r="E464" t="str">
        <f>"0076329"</f>
        <v>0076329</v>
      </c>
      <c r="F464" t="str">
        <f t="shared" si="115"/>
        <v>6123</v>
      </c>
      <c r="G464" t="str">
        <f>"1"</f>
        <v>1</v>
      </c>
      <c r="H464" t="str">
        <f t="shared" si="111"/>
        <v>01</v>
      </c>
      <c r="I464" t="s">
        <v>62</v>
      </c>
      <c r="J464" t="str">
        <f t="shared" si="112"/>
        <v>6102</v>
      </c>
      <c r="K464" t="str">
        <f>"01"</f>
        <v>01</v>
      </c>
      <c r="L464" s="3">
        <v>94.42</v>
      </c>
      <c r="M464" s="5">
        <v>94.42</v>
      </c>
      <c r="N464" s="7">
        <v>94.42</v>
      </c>
      <c r="O464" s="3">
        <v>0</v>
      </c>
      <c r="P464" s="7">
        <v>1.56</v>
      </c>
      <c r="Q464" s="7">
        <v>0</v>
      </c>
      <c r="R464" s="7">
        <v>0</v>
      </c>
      <c r="S464" s="7">
        <v>0</v>
      </c>
      <c r="T464" s="7">
        <v>94.42</v>
      </c>
      <c r="U464" s="3">
        <v>0</v>
      </c>
      <c r="V464" s="7">
        <v>7.18</v>
      </c>
      <c r="W464" s="7">
        <v>0</v>
      </c>
      <c r="X464" s="3">
        <v>0</v>
      </c>
      <c r="Y464" s="7">
        <v>0</v>
      </c>
    </row>
    <row r="465" spans="1:25" x14ac:dyDescent="0.25">
      <c r="A465" t="s">
        <v>25</v>
      </c>
      <c r="B465" t="s">
        <v>97</v>
      </c>
      <c r="C465" t="str">
        <f t="shared" si="116"/>
        <v>1</v>
      </c>
      <c r="D465" t="str">
        <f t="shared" si="114"/>
        <v>5</v>
      </c>
      <c r="E465" t="str">
        <f>"0076329"</f>
        <v>0076329</v>
      </c>
      <c r="F465" t="str">
        <f t="shared" si="115"/>
        <v>6123</v>
      </c>
      <c r="G465" t="str">
        <f>"1"</f>
        <v>1</v>
      </c>
      <c r="H465" t="str">
        <f t="shared" ref="H465:H486" si="119">"01"</f>
        <v>01</v>
      </c>
      <c r="I465" t="s">
        <v>86</v>
      </c>
      <c r="J465" t="str">
        <f t="shared" ref="J465:J496" si="120">"6102"</f>
        <v>6102</v>
      </c>
      <c r="K465" t="str">
        <f>"01"</f>
        <v>01</v>
      </c>
      <c r="L465" s="3">
        <v>100</v>
      </c>
      <c r="M465" s="5">
        <v>92.59</v>
      </c>
      <c r="N465" s="7">
        <v>92.59</v>
      </c>
      <c r="O465" s="3">
        <v>0</v>
      </c>
      <c r="P465" s="7">
        <v>1.53</v>
      </c>
      <c r="Q465" s="7">
        <v>0</v>
      </c>
      <c r="R465" s="7">
        <v>0</v>
      </c>
      <c r="S465" s="7">
        <v>0</v>
      </c>
      <c r="T465" s="7">
        <v>92.59</v>
      </c>
      <c r="U465" s="3">
        <v>0</v>
      </c>
      <c r="V465" s="7">
        <v>7.04</v>
      </c>
      <c r="W465" s="7">
        <v>0</v>
      </c>
      <c r="X465" s="3">
        <v>0</v>
      </c>
      <c r="Y465" s="7">
        <v>0</v>
      </c>
    </row>
    <row r="466" spans="1:25" x14ac:dyDescent="0.25">
      <c r="A466" t="s">
        <v>25</v>
      </c>
      <c r="B466" t="s">
        <v>97</v>
      </c>
      <c r="C466" t="str">
        <f t="shared" si="116"/>
        <v>1</v>
      </c>
      <c r="D466" t="str">
        <f t="shared" si="114"/>
        <v>5</v>
      </c>
      <c r="E466" t="str">
        <f>"0076331"</f>
        <v>0076331</v>
      </c>
      <c r="F466" t="str">
        <f t="shared" si="115"/>
        <v>6123</v>
      </c>
      <c r="G466" t="str">
        <f>"70"</f>
        <v>70</v>
      </c>
      <c r="H466" t="str">
        <f t="shared" si="119"/>
        <v>01</v>
      </c>
      <c r="I466" t="s">
        <v>62</v>
      </c>
      <c r="J466" t="str">
        <f t="shared" si="120"/>
        <v>6102</v>
      </c>
      <c r="K466" t="str">
        <f>"01"</f>
        <v>01</v>
      </c>
      <c r="L466" s="3">
        <v>257.10000000000002</v>
      </c>
      <c r="M466" s="5">
        <v>257.10000000000002</v>
      </c>
      <c r="N466" s="7">
        <v>257.10000000000002</v>
      </c>
      <c r="O466" s="3">
        <v>0</v>
      </c>
      <c r="P466" s="7">
        <v>4.24</v>
      </c>
      <c r="Q466" s="7">
        <v>0</v>
      </c>
      <c r="R466" s="7">
        <v>0</v>
      </c>
      <c r="S466" s="7">
        <v>0</v>
      </c>
      <c r="T466" s="7">
        <v>257.10000000000002</v>
      </c>
      <c r="U466" s="3">
        <v>0</v>
      </c>
      <c r="V466" s="7">
        <v>19.54</v>
      </c>
      <c r="W466" s="7">
        <v>0</v>
      </c>
      <c r="X466" s="3">
        <v>0</v>
      </c>
      <c r="Y466" s="7">
        <v>0</v>
      </c>
    </row>
    <row r="467" spans="1:25" x14ac:dyDescent="0.25">
      <c r="A467" t="s">
        <v>25</v>
      </c>
      <c r="B467" t="s">
        <v>97</v>
      </c>
      <c r="C467" t="str">
        <f t="shared" si="116"/>
        <v>1</v>
      </c>
      <c r="D467" t="str">
        <f t="shared" si="114"/>
        <v>5</v>
      </c>
      <c r="E467" t="str">
        <f>"0076331"</f>
        <v>0076331</v>
      </c>
      <c r="F467" t="str">
        <f t="shared" si="115"/>
        <v>6123</v>
      </c>
      <c r="G467" t="str">
        <f>"70"</f>
        <v>70</v>
      </c>
      <c r="H467" t="str">
        <f t="shared" si="119"/>
        <v>01</v>
      </c>
      <c r="I467" t="s">
        <v>95</v>
      </c>
      <c r="J467" t="str">
        <f t="shared" si="120"/>
        <v>6102</v>
      </c>
      <c r="K467" t="str">
        <f>"02"</f>
        <v>02</v>
      </c>
      <c r="L467" s="3">
        <v>306</v>
      </c>
      <c r="M467" s="5">
        <v>306</v>
      </c>
      <c r="N467" s="7">
        <v>306</v>
      </c>
      <c r="O467" s="3">
        <v>0</v>
      </c>
      <c r="P467" s="7">
        <v>5.05</v>
      </c>
      <c r="Q467" s="7">
        <v>0</v>
      </c>
      <c r="R467" s="7">
        <v>0</v>
      </c>
      <c r="S467" s="7">
        <v>0</v>
      </c>
      <c r="T467" s="7">
        <v>306</v>
      </c>
      <c r="U467" s="3">
        <v>0</v>
      </c>
      <c r="V467" s="7">
        <v>23.26</v>
      </c>
      <c r="W467" s="7">
        <v>0</v>
      </c>
      <c r="X467" s="3">
        <v>0</v>
      </c>
      <c r="Y467" s="7">
        <v>0</v>
      </c>
    </row>
    <row r="468" spans="1:25" x14ac:dyDescent="0.25">
      <c r="A468" t="s">
        <v>25</v>
      </c>
      <c r="B468" t="s">
        <v>97</v>
      </c>
      <c r="C468" t="str">
        <f t="shared" si="116"/>
        <v>1</v>
      </c>
      <c r="D468" t="str">
        <f t="shared" si="114"/>
        <v>5</v>
      </c>
      <c r="E468" t="str">
        <f>"0076333"</f>
        <v>0076333</v>
      </c>
      <c r="F468" t="str">
        <f t="shared" si="115"/>
        <v>6123</v>
      </c>
      <c r="G468" t="str">
        <f>"1"</f>
        <v>1</v>
      </c>
      <c r="H468" t="str">
        <f t="shared" si="119"/>
        <v>01</v>
      </c>
      <c r="I468" t="s">
        <v>62</v>
      </c>
      <c r="J468" t="str">
        <f t="shared" si="120"/>
        <v>6102</v>
      </c>
      <c r="K468" t="str">
        <f t="shared" ref="K468:K473" si="121">"01"</f>
        <v>01</v>
      </c>
      <c r="L468" s="3">
        <v>94.42</v>
      </c>
      <c r="M468" s="5">
        <v>94.42</v>
      </c>
      <c r="N468" s="7">
        <v>94.42</v>
      </c>
      <c r="O468" s="3">
        <v>0</v>
      </c>
      <c r="P468" s="7">
        <v>1.56</v>
      </c>
      <c r="Q468" s="7">
        <v>0</v>
      </c>
      <c r="R468" s="7">
        <v>0</v>
      </c>
      <c r="S468" s="7">
        <v>0</v>
      </c>
      <c r="T468" s="7">
        <v>94.42</v>
      </c>
      <c r="U468" s="3">
        <v>0</v>
      </c>
      <c r="V468" s="7">
        <v>7.18</v>
      </c>
      <c r="W468" s="7">
        <v>0</v>
      </c>
      <c r="X468" s="3">
        <v>0</v>
      </c>
      <c r="Y468" s="7">
        <v>0</v>
      </c>
    </row>
    <row r="469" spans="1:25" x14ac:dyDescent="0.25">
      <c r="A469" t="s">
        <v>25</v>
      </c>
      <c r="B469" t="s">
        <v>97</v>
      </c>
      <c r="C469" t="str">
        <f t="shared" si="116"/>
        <v>1</v>
      </c>
      <c r="D469" t="str">
        <f t="shared" si="114"/>
        <v>5</v>
      </c>
      <c r="E469" t="str">
        <f>"0076334"</f>
        <v>0076334</v>
      </c>
      <c r="F469" t="str">
        <f t="shared" si="115"/>
        <v>6123</v>
      </c>
      <c r="G469" t="str">
        <f>"1"</f>
        <v>1</v>
      </c>
      <c r="H469" t="str">
        <f t="shared" si="119"/>
        <v>01</v>
      </c>
      <c r="I469" t="s">
        <v>56</v>
      </c>
      <c r="J469" t="str">
        <f t="shared" si="120"/>
        <v>6102</v>
      </c>
      <c r="K469" t="str">
        <f t="shared" si="121"/>
        <v>01</v>
      </c>
      <c r="L469" s="3">
        <v>96.25</v>
      </c>
      <c r="M469" s="5">
        <v>96.25</v>
      </c>
      <c r="N469" s="7">
        <v>96.25</v>
      </c>
      <c r="O469" s="3">
        <v>0</v>
      </c>
      <c r="P469" s="7">
        <v>1.59</v>
      </c>
      <c r="Q469" s="7">
        <v>0</v>
      </c>
      <c r="R469" s="7">
        <v>0</v>
      </c>
      <c r="S469" s="7">
        <v>0</v>
      </c>
      <c r="T469" s="7">
        <v>96.25</v>
      </c>
      <c r="U469" s="3">
        <v>0</v>
      </c>
      <c r="V469" s="7">
        <v>7.32</v>
      </c>
      <c r="W469" s="7">
        <v>0</v>
      </c>
      <c r="X469" s="3">
        <v>0</v>
      </c>
      <c r="Y469" s="7">
        <v>0</v>
      </c>
    </row>
    <row r="470" spans="1:25" x14ac:dyDescent="0.25">
      <c r="A470" t="s">
        <v>25</v>
      </c>
      <c r="B470" t="s">
        <v>97</v>
      </c>
      <c r="C470" t="str">
        <f t="shared" si="116"/>
        <v>1</v>
      </c>
      <c r="D470" t="str">
        <f t="shared" ref="D470:D486" si="122">"5"</f>
        <v>5</v>
      </c>
      <c r="E470" t="str">
        <f>"0076338"</f>
        <v>0076338</v>
      </c>
      <c r="F470" t="str">
        <f t="shared" si="115"/>
        <v>6123</v>
      </c>
      <c r="G470" t="str">
        <f>"70"</f>
        <v>70</v>
      </c>
      <c r="H470" t="str">
        <f t="shared" si="119"/>
        <v>01</v>
      </c>
      <c r="I470" t="s">
        <v>104</v>
      </c>
      <c r="J470" t="str">
        <f t="shared" si="120"/>
        <v>6102</v>
      </c>
      <c r="K470" t="str">
        <f t="shared" si="121"/>
        <v>01</v>
      </c>
      <c r="L470" s="3">
        <v>109.08</v>
      </c>
      <c r="M470" s="5">
        <v>101</v>
      </c>
      <c r="N470" s="7">
        <v>101</v>
      </c>
      <c r="O470" s="3">
        <v>0</v>
      </c>
      <c r="P470" s="7">
        <v>1.67</v>
      </c>
      <c r="Q470" s="7">
        <v>0</v>
      </c>
      <c r="R470" s="7">
        <v>0</v>
      </c>
      <c r="S470" s="7">
        <v>0</v>
      </c>
      <c r="T470" s="7">
        <v>101</v>
      </c>
      <c r="U470" s="3">
        <v>0</v>
      </c>
      <c r="V470" s="7">
        <v>7.68</v>
      </c>
      <c r="W470" s="7">
        <v>0</v>
      </c>
      <c r="X470" s="3">
        <v>0</v>
      </c>
      <c r="Y470" s="7">
        <v>0</v>
      </c>
    </row>
    <row r="471" spans="1:25" x14ac:dyDescent="0.25">
      <c r="A471" t="s">
        <v>25</v>
      </c>
      <c r="B471" t="s">
        <v>97</v>
      </c>
      <c r="C471" t="str">
        <f t="shared" si="116"/>
        <v>1</v>
      </c>
      <c r="D471" t="str">
        <f t="shared" si="122"/>
        <v>5</v>
      </c>
      <c r="E471" t="str">
        <f>"0076341"</f>
        <v>0076341</v>
      </c>
      <c r="F471" t="str">
        <f t="shared" si="115"/>
        <v>6123</v>
      </c>
      <c r="G471" t="str">
        <f>"1"</f>
        <v>1</v>
      </c>
      <c r="H471" t="str">
        <f t="shared" si="119"/>
        <v>01</v>
      </c>
      <c r="I471" t="s">
        <v>86</v>
      </c>
      <c r="J471" t="str">
        <f t="shared" si="120"/>
        <v>6102</v>
      </c>
      <c r="K471" t="str">
        <f t="shared" si="121"/>
        <v>01</v>
      </c>
      <c r="L471" s="3">
        <v>100</v>
      </c>
      <c r="M471" s="5">
        <v>92.59</v>
      </c>
      <c r="N471" s="7">
        <v>92.59</v>
      </c>
      <c r="O471" s="3">
        <v>0</v>
      </c>
      <c r="P471" s="7">
        <v>1.53</v>
      </c>
      <c r="Q471" s="7">
        <v>0</v>
      </c>
      <c r="R471" s="7">
        <v>0</v>
      </c>
      <c r="S471" s="7">
        <v>0</v>
      </c>
      <c r="T471" s="7">
        <v>92.59</v>
      </c>
      <c r="U471" s="3">
        <v>0</v>
      </c>
      <c r="V471" s="7">
        <v>7.04</v>
      </c>
      <c r="W471" s="7">
        <v>0</v>
      </c>
      <c r="X471" s="3">
        <v>0</v>
      </c>
      <c r="Y471" s="7">
        <v>0</v>
      </c>
    </row>
    <row r="472" spans="1:25" x14ac:dyDescent="0.25">
      <c r="A472" t="s">
        <v>25</v>
      </c>
      <c r="B472" t="s">
        <v>97</v>
      </c>
      <c r="C472" t="str">
        <f t="shared" si="116"/>
        <v>1</v>
      </c>
      <c r="D472" t="str">
        <f t="shared" si="122"/>
        <v>5</v>
      </c>
      <c r="E472" t="str">
        <f>"0076500"</f>
        <v>0076500</v>
      </c>
      <c r="F472" t="str">
        <f t="shared" si="115"/>
        <v>6123</v>
      </c>
      <c r="G472" t="str">
        <f>"70"</f>
        <v>70</v>
      </c>
      <c r="H472" t="str">
        <f t="shared" si="119"/>
        <v>01</v>
      </c>
      <c r="I472" t="s">
        <v>104</v>
      </c>
      <c r="J472" t="str">
        <f t="shared" si="120"/>
        <v>6102</v>
      </c>
      <c r="K472" t="str">
        <f t="shared" si="121"/>
        <v>01</v>
      </c>
      <c r="L472" s="3">
        <v>27000</v>
      </c>
      <c r="M472" s="5">
        <v>25000</v>
      </c>
      <c r="N472" s="7">
        <v>25000</v>
      </c>
      <c r="O472" s="3">
        <v>0</v>
      </c>
      <c r="P472" s="7">
        <v>412.5</v>
      </c>
      <c r="Q472" s="7">
        <v>0</v>
      </c>
      <c r="R472" s="7">
        <v>0</v>
      </c>
      <c r="S472" s="7">
        <v>0</v>
      </c>
      <c r="T472" s="7">
        <v>25000</v>
      </c>
      <c r="U472" s="3">
        <v>0</v>
      </c>
      <c r="V472" s="7">
        <v>1900</v>
      </c>
      <c r="W472" s="7">
        <v>0</v>
      </c>
      <c r="X472" s="3">
        <v>0</v>
      </c>
      <c r="Y472" s="7">
        <v>0</v>
      </c>
    </row>
    <row r="473" spans="1:25" x14ac:dyDescent="0.25">
      <c r="A473" t="s">
        <v>25</v>
      </c>
      <c r="B473" t="s">
        <v>97</v>
      </c>
      <c r="C473" t="str">
        <f t="shared" si="116"/>
        <v>1</v>
      </c>
      <c r="D473" t="str">
        <f t="shared" si="122"/>
        <v>5</v>
      </c>
      <c r="E473" t="str">
        <f>"0076512"</f>
        <v>0076512</v>
      </c>
      <c r="F473" t="str">
        <f t="shared" si="115"/>
        <v>6123</v>
      </c>
      <c r="G473" t="str">
        <f>"70"</f>
        <v>70</v>
      </c>
      <c r="H473" t="str">
        <f t="shared" si="119"/>
        <v>01</v>
      </c>
      <c r="I473" t="s">
        <v>84</v>
      </c>
      <c r="J473" t="str">
        <f t="shared" si="120"/>
        <v>6102</v>
      </c>
      <c r="K473" t="str">
        <f t="shared" si="121"/>
        <v>01</v>
      </c>
      <c r="L473" s="3">
        <v>12</v>
      </c>
      <c r="M473" s="5">
        <v>12</v>
      </c>
      <c r="N473" s="7">
        <v>12</v>
      </c>
      <c r="O473" s="3">
        <v>0</v>
      </c>
      <c r="P473" s="7">
        <v>0.2</v>
      </c>
      <c r="Q473" s="7">
        <v>0</v>
      </c>
      <c r="R473" s="7">
        <v>0</v>
      </c>
      <c r="S473" s="7">
        <v>0</v>
      </c>
      <c r="T473" s="7">
        <v>12</v>
      </c>
      <c r="U473" s="3">
        <v>0</v>
      </c>
      <c r="V473" s="7">
        <v>0.91</v>
      </c>
      <c r="W473" s="7">
        <v>0</v>
      </c>
      <c r="X473" s="3">
        <v>0</v>
      </c>
      <c r="Y473" s="7">
        <v>0</v>
      </c>
    </row>
    <row r="474" spans="1:25" x14ac:dyDescent="0.25">
      <c r="A474" t="s">
        <v>25</v>
      </c>
      <c r="B474" t="s">
        <v>97</v>
      </c>
      <c r="C474" t="str">
        <f t="shared" si="116"/>
        <v>1</v>
      </c>
      <c r="D474" t="str">
        <f t="shared" si="122"/>
        <v>5</v>
      </c>
      <c r="E474" t="str">
        <f>"0076726"</f>
        <v>0076726</v>
      </c>
      <c r="F474" t="str">
        <f t="shared" ref="F474:F496" si="123">"6123"</f>
        <v>6123</v>
      </c>
      <c r="G474" t="str">
        <f>"70"</f>
        <v>70</v>
      </c>
      <c r="H474" t="str">
        <f t="shared" si="119"/>
        <v>01</v>
      </c>
      <c r="I474" t="s">
        <v>56</v>
      </c>
      <c r="J474" t="str">
        <f t="shared" si="120"/>
        <v>6102</v>
      </c>
      <c r="K474" t="str">
        <f>"05"</f>
        <v>05</v>
      </c>
      <c r="L474" s="3">
        <v>29123.99</v>
      </c>
      <c r="M474" s="5">
        <v>29123.99</v>
      </c>
      <c r="N474" s="7">
        <v>29123.99</v>
      </c>
      <c r="O474" s="3">
        <v>1.65</v>
      </c>
      <c r="P474" s="7">
        <v>480.55</v>
      </c>
      <c r="Q474" s="7">
        <v>29123.99</v>
      </c>
      <c r="R474" s="7">
        <v>0</v>
      </c>
      <c r="S474" s="7">
        <v>0</v>
      </c>
      <c r="T474" s="7">
        <v>29123.99</v>
      </c>
      <c r="U474" s="3">
        <v>7.6</v>
      </c>
      <c r="V474" s="7">
        <v>2213.42</v>
      </c>
      <c r="W474" s="7">
        <v>29123.99</v>
      </c>
      <c r="X474" s="3">
        <v>0</v>
      </c>
      <c r="Y474" s="7">
        <v>0</v>
      </c>
    </row>
    <row r="475" spans="1:25" x14ac:dyDescent="0.25">
      <c r="A475" t="s">
        <v>25</v>
      </c>
      <c r="B475" t="s">
        <v>97</v>
      </c>
      <c r="C475" t="str">
        <f t="shared" si="116"/>
        <v>1</v>
      </c>
      <c r="D475" t="str">
        <f t="shared" si="122"/>
        <v>5</v>
      </c>
      <c r="E475" t="str">
        <f>"0076726"</f>
        <v>0076726</v>
      </c>
      <c r="F475" t="str">
        <f t="shared" si="123"/>
        <v>6123</v>
      </c>
      <c r="G475" t="str">
        <f>"70"</f>
        <v>70</v>
      </c>
      <c r="H475" t="str">
        <f t="shared" si="119"/>
        <v>01</v>
      </c>
      <c r="I475" t="s">
        <v>104</v>
      </c>
      <c r="J475" t="str">
        <f t="shared" si="120"/>
        <v>6102</v>
      </c>
      <c r="K475" t="str">
        <f>"01"</f>
        <v>01</v>
      </c>
      <c r="L475" s="3">
        <v>27000</v>
      </c>
      <c r="M475" s="5">
        <v>25000</v>
      </c>
      <c r="N475" s="7">
        <v>25000</v>
      </c>
      <c r="O475" s="3">
        <v>1.65</v>
      </c>
      <c r="P475" s="7">
        <v>412.5</v>
      </c>
      <c r="Q475" s="7">
        <v>27000</v>
      </c>
      <c r="R475" s="7">
        <v>0</v>
      </c>
      <c r="S475" s="7">
        <v>0</v>
      </c>
      <c r="T475" s="7">
        <v>25000</v>
      </c>
      <c r="U475" s="3">
        <v>7.6</v>
      </c>
      <c r="V475" s="7">
        <v>1900</v>
      </c>
      <c r="W475" s="7">
        <v>27000</v>
      </c>
      <c r="X475" s="3">
        <v>0</v>
      </c>
      <c r="Y475" s="7">
        <v>0</v>
      </c>
    </row>
    <row r="476" spans="1:25" x14ac:dyDescent="0.25">
      <c r="A476" t="s">
        <v>25</v>
      </c>
      <c r="B476" t="s">
        <v>97</v>
      </c>
      <c r="C476" t="str">
        <f t="shared" si="116"/>
        <v>1</v>
      </c>
      <c r="D476" t="str">
        <f t="shared" si="122"/>
        <v>5</v>
      </c>
      <c r="E476" t="str">
        <f>"0076726"</f>
        <v>0076726</v>
      </c>
      <c r="F476" t="str">
        <f t="shared" si="123"/>
        <v>6123</v>
      </c>
      <c r="G476" t="str">
        <f>"70"</f>
        <v>70</v>
      </c>
      <c r="H476" t="str">
        <f t="shared" si="119"/>
        <v>01</v>
      </c>
      <c r="I476" t="s">
        <v>89</v>
      </c>
      <c r="J476" t="str">
        <f t="shared" si="120"/>
        <v>6102</v>
      </c>
      <c r="K476" t="str">
        <f t="shared" ref="K476:K482" si="124">"05"</f>
        <v>05</v>
      </c>
      <c r="L476" s="3">
        <v>28000.57</v>
      </c>
      <c r="M476" s="5">
        <v>28000.57</v>
      </c>
      <c r="N476" s="7">
        <v>28000.57</v>
      </c>
      <c r="O476" s="3">
        <v>1.65</v>
      </c>
      <c r="P476" s="7">
        <v>462.01</v>
      </c>
      <c r="Q476" s="7">
        <v>28000.57</v>
      </c>
      <c r="R476" s="7">
        <v>0</v>
      </c>
      <c r="S476" s="7">
        <v>0</v>
      </c>
      <c r="T476" s="7">
        <v>28000.57</v>
      </c>
      <c r="U476" s="3">
        <v>7.6</v>
      </c>
      <c r="V476" s="7">
        <v>2128.04</v>
      </c>
      <c r="W476" s="7">
        <v>28000.57</v>
      </c>
      <c r="X476" s="3">
        <v>0</v>
      </c>
      <c r="Y476" s="7">
        <v>0</v>
      </c>
    </row>
    <row r="477" spans="1:25" x14ac:dyDescent="0.25">
      <c r="A477" t="s">
        <v>25</v>
      </c>
      <c r="B477" t="s">
        <v>97</v>
      </c>
      <c r="C477" t="str">
        <f t="shared" si="116"/>
        <v>1</v>
      </c>
      <c r="D477" t="str">
        <f t="shared" si="122"/>
        <v>5</v>
      </c>
      <c r="E477" t="str">
        <f>"0076727"</f>
        <v>0076727</v>
      </c>
      <c r="F477" t="str">
        <f t="shared" si="123"/>
        <v>6123</v>
      </c>
      <c r="G477" t="str">
        <f t="shared" ref="G477:G482" si="125">"81"</f>
        <v>81</v>
      </c>
      <c r="H477" t="str">
        <f t="shared" si="119"/>
        <v>01</v>
      </c>
      <c r="I477" t="s">
        <v>104</v>
      </c>
      <c r="J477" t="str">
        <f t="shared" si="120"/>
        <v>6102</v>
      </c>
      <c r="K477" t="str">
        <f t="shared" si="124"/>
        <v>05</v>
      </c>
      <c r="L477" s="3">
        <v>27000</v>
      </c>
      <c r="M477" s="5">
        <v>25000</v>
      </c>
      <c r="N477" s="7">
        <v>25000</v>
      </c>
      <c r="O477" s="3">
        <v>1.65</v>
      </c>
      <c r="P477" s="7">
        <v>412.5</v>
      </c>
      <c r="Q477" s="7">
        <v>27000</v>
      </c>
      <c r="R477" s="7">
        <v>0</v>
      </c>
      <c r="S477" s="7">
        <v>0</v>
      </c>
      <c r="T477" s="7">
        <v>25000</v>
      </c>
      <c r="U477" s="3">
        <v>7.6</v>
      </c>
      <c r="V477" s="7">
        <v>1900</v>
      </c>
      <c r="W477" s="7">
        <v>27000</v>
      </c>
      <c r="X477" s="3">
        <v>0</v>
      </c>
      <c r="Y477" s="7">
        <v>0</v>
      </c>
    </row>
    <row r="478" spans="1:25" x14ac:dyDescent="0.25">
      <c r="A478" t="s">
        <v>25</v>
      </c>
      <c r="B478" t="s">
        <v>97</v>
      </c>
      <c r="C478" t="str">
        <f t="shared" si="116"/>
        <v>1</v>
      </c>
      <c r="D478" t="str">
        <f t="shared" si="122"/>
        <v>5</v>
      </c>
      <c r="E478" t="str">
        <f>"0076727"</f>
        <v>0076727</v>
      </c>
      <c r="F478" t="str">
        <f t="shared" si="123"/>
        <v>6123</v>
      </c>
      <c r="G478" t="str">
        <f t="shared" si="125"/>
        <v>81</v>
      </c>
      <c r="H478" t="str">
        <f t="shared" si="119"/>
        <v>01</v>
      </c>
      <c r="I478" t="s">
        <v>89</v>
      </c>
      <c r="J478" t="str">
        <f t="shared" si="120"/>
        <v>6102</v>
      </c>
      <c r="K478" t="str">
        <f t="shared" si="124"/>
        <v>05</v>
      </c>
      <c r="L478" s="3">
        <v>28000.57</v>
      </c>
      <c r="M478" s="5">
        <v>28000.57</v>
      </c>
      <c r="N478" s="7">
        <v>28000.57</v>
      </c>
      <c r="O478" s="3">
        <v>1.65</v>
      </c>
      <c r="P478" s="7">
        <v>462.01</v>
      </c>
      <c r="Q478" s="7">
        <v>28000.57</v>
      </c>
      <c r="R478" s="7">
        <v>0</v>
      </c>
      <c r="S478" s="7">
        <v>0</v>
      </c>
      <c r="T478" s="7">
        <v>28000.57</v>
      </c>
      <c r="U478" s="3">
        <v>7.6</v>
      </c>
      <c r="V478" s="7">
        <v>2128.04</v>
      </c>
      <c r="W478" s="7">
        <v>28000.57</v>
      </c>
      <c r="X478" s="3">
        <v>0</v>
      </c>
      <c r="Y478" s="7">
        <v>0</v>
      </c>
    </row>
    <row r="479" spans="1:25" x14ac:dyDescent="0.25">
      <c r="A479" t="s">
        <v>25</v>
      </c>
      <c r="B479" t="s">
        <v>97</v>
      </c>
      <c r="C479" t="str">
        <f t="shared" si="116"/>
        <v>1</v>
      </c>
      <c r="D479" t="str">
        <f t="shared" si="122"/>
        <v>5</v>
      </c>
      <c r="E479" t="str">
        <f>"0076727"</f>
        <v>0076727</v>
      </c>
      <c r="F479" t="str">
        <f t="shared" si="123"/>
        <v>6123</v>
      </c>
      <c r="G479" t="str">
        <f t="shared" si="125"/>
        <v>81</v>
      </c>
      <c r="H479" t="str">
        <f t="shared" si="119"/>
        <v>01</v>
      </c>
      <c r="I479" t="s">
        <v>56</v>
      </c>
      <c r="J479" t="str">
        <f t="shared" si="120"/>
        <v>6102</v>
      </c>
      <c r="K479" t="str">
        <f t="shared" si="124"/>
        <v>05</v>
      </c>
      <c r="L479" s="3">
        <v>29123.99</v>
      </c>
      <c r="M479" s="5">
        <v>29123.99</v>
      </c>
      <c r="N479" s="7">
        <v>29123.99</v>
      </c>
      <c r="O479" s="3">
        <v>1.65</v>
      </c>
      <c r="P479" s="7">
        <v>480.55</v>
      </c>
      <c r="Q479" s="7">
        <v>29123.99</v>
      </c>
      <c r="R479" s="7">
        <v>0</v>
      </c>
      <c r="S479" s="7">
        <v>0</v>
      </c>
      <c r="T479" s="7">
        <v>29123.99</v>
      </c>
      <c r="U479" s="3">
        <v>7.6</v>
      </c>
      <c r="V479" s="7">
        <v>2213.42</v>
      </c>
      <c r="W479" s="7">
        <v>29123.99</v>
      </c>
      <c r="X479" s="3">
        <v>0</v>
      </c>
      <c r="Y479" s="7">
        <v>0</v>
      </c>
    </row>
    <row r="480" spans="1:25" x14ac:dyDescent="0.25">
      <c r="A480" t="s">
        <v>25</v>
      </c>
      <c r="B480" t="s">
        <v>97</v>
      </c>
      <c r="C480" t="str">
        <f t="shared" ref="C480:C511" si="126">"1"</f>
        <v>1</v>
      </c>
      <c r="D480" t="str">
        <f t="shared" si="122"/>
        <v>5</v>
      </c>
      <c r="E480" t="str">
        <f>"0076728"</f>
        <v>0076728</v>
      </c>
      <c r="F480" t="str">
        <f t="shared" si="123"/>
        <v>6123</v>
      </c>
      <c r="G480" t="str">
        <f t="shared" si="125"/>
        <v>81</v>
      </c>
      <c r="H480" t="str">
        <f t="shared" si="119"/>
        <v>01</v>
      </c>
      <c r="I480" t="s">
        <v>89</v>
      </c>
      <c r="J480" t="str">
        <f t="shared" si="120"/>
        <v>6102</v>
      </c>
      <c r="K480" t="str">
        <f t="shared" si="124"/>
        <v>05</v>
      </c>
      <c r="L480" s="3">
        <v>28000.57</v>
      </c>
      <c r="M480" s="5">
        <v>28000.57</v>
      </c>
      <c r="N480" s="7">
        <v>28000.57</v>
      </c>
      <c r="O480" s="3">
        <v>1.65</v>
      </c>
      <c r="P480" s="7">
        <v>462.01</v>
      </c>
      <c r="Q480" s="7">
        <v>28000.57</v>
      </c>
      <c r="R480" s="7">
        <v>0</v>
      </c>
      <c r="S480" s="7">
        <v>0</v>
      </c>
      <c r="T480" s="7">
        <v>28000.57</v>
      </c>
      <c r="U480" s="3">
        <v>7.6</v>
      </c>
      <c r="V480" s="7">
        <v>2128.04</v>
      </c>
      <c r="W480" s="7">
        <v>28000.57</v>
      </c>
      <c r="X480" s="3">
        <v>0</v>
      </c>
      <c r="Y480" s="7">
        <v>0</v>
      </c>
    </row>
    <row r="481" spans="1:25" x14ac:dyDescent="0.25">
      <c r="A481" t="s">
        <v>25</v>
      </c>
      <c r="B481" t="s">
        <v>97</v>
      </c>
      <c r="C481" t="str">
        <f t="shared" si="126"/>
        <v>1</v>
      </c>
      <c r="D481" t="str">
        <f t="shared" si="122"/>
        <v>5</v>
      </c>
      <c r="E481" t="str">
        <f>"0076728"</f>
        <v>0076728</v>
      </c>
      <c r="F481" t="str">
        <f t="shared" si="123"/>
        <v>6123</v>
      </c>
      <c r="G481" t="str">
        <f t="shared" si="125"/>
        <v>81</v>
      </c>
      <c r="H481" t="str">
        <f t="shared" si="119"/>
        <v>01</v>
      </c>
      <c r="I481" t="s">
        <v>104</v>
      </c>
      <c r="J481" t="str">
        <f t="shared" si="120"/>
        <v>6102</v>
      </c>
      <c r="K481" t="str">
        <f t="shared" si="124"/>
        <v>05</v>
      </c>
      <c r="L481" s="3">
        <v>27000</v>
      </c>
      <c r="M481" s="5">
        <v>25000</v>
      </c>
      <c r="N481" s="7">
        <v>25000</v>
      </c>
      <c r="O481" s="3">
        <v>1.65</v>
      </c>
      <c r="P481" s="7">
        <v>412.5</v>
      </c>
      <c r="Q481" s="7">
        <v>27000</v>
      </c>
      <c r="R481" s="7">
        <v>0</v>
      </c>
      <c r="S481" s="7">
        <v>0</v>
      </c>
      <c r="T481" s="7">
        <v>25000</v>
      </c>
      <c r="U481" s="3">
        <v>7.6</v>
      </c>
      <c r="V481" s="7">
        <v>1900</v>
      </c>
      <c r="W481" s="7">
        <v>27000</v>
      </c>
      <c r="X481" s="3">
        <v>0</v>
      </c>
      <c r="Y481" s="7">
        <v>0</v>
      </c>
    </row>
    <row r="482" spans="1:25" x14ac:dyDescent="0.25">
      <c r="A482" t="s">
        <v>25</v>
      </c>
      <c r="B482" t="s">
        <v>97</v>
      </c>
      <c r="C482" t="str">
        <f t="shared" si="126"/>
        <v>1</v>
      </c>
      <c r="D482" t="str">
        <f t="shared" si="122"/>
        <v>5</v>
      </c>
      <c r="E482" t="str">
        <f>"0076728"</f>
        <v>0076728</v>
      </c>
      <c r="F482" t="str">
        <f t="shared" si="123"/>
        <v>6123</v>
      </c>
      <c r="G482" t="str">
        <f t="shared" si="125"/>
        <v>81</v>
      </c>
      <c r="H482" t="str">
        <f t="shared" si="119"/>
        <v>01</v>
      </c>
      <c r="I482" t="s">
        <v>56</v>
      </c>
      <c r="J482" t="str">
        <f t="shared" si="120"/>
        <v>6102</v>
      </c>
      <c r="K482" t="str">
        <f t="shared" si="124"/>
        <v>05</v>
      </c>
      <c r="L482" s="3">
        <v>29123.99</v>
      </c>
      <c r="M482" s="5">
        <v>29123.99</v>
      </c>
      <c r="N482" s="7">
        <v>29123.99</v>
      </c>
      <c r="O482" s="3">
        <v>1.65</v>
      </c>
      <c r="P482" s="7">
        <v>480.55</v>
      </c>
      <c r="Q482" s="7">
        <v>29123.99</v>
      </c>
      <c r="R482" s="7">
        <v>0</v>
      </c>
      <c r="S482" s="7">
        <v>0</v>
      </c>
      <c r="T482" s="7">
        <v>29123.99</v>
      </c>
      <c r="U482" s="3">
        <v>7.6</v>
      </c>
      <c r="V482" s="7">
        <v>2213.42</v>
      </c>
      <c r="W482" s="7">
        <v>29123.99</v>
      </c>
      <c r="X482" s="3">
        <v>0</v>
      </c>
      <c r="Y482" s="7">
        <v>0</v>
      </c>
    </row>
    <row r="483" spans="1:25" x14ac:dyDescent="0.25">
      <c r="A483" t="s">
        <v>25</v>
      </c>
      <c r="B483" t="s">
        <v>97</v>
      </c>
      <c r="C483" t="str">
        <f t="shared" si="126"/>
        <v>1</v>
      </c>
      <c r="D483" t="str">
        <f t="shared" si="122"/>
        <v>5</v>
      </c>
      <c r="E483" t="str">
        <f>"0076729"</f>
        <v>0076729</v>
      </c>
      <c r="F483" t="str">
        <f t="shared" si="123"/>
        <v>6123</v>
      </c>
      <c r="G483" t="str">
        <f>"22"</f>
        <v>22</v>
      </c>
      <c r="H483" t="str">
        <f t="shared" si="119"/>
        <v>01</v>
      </c>
      <c r="I483" t="s">
        <v>62</v>
      </c>
      <c r="J483" t="str">
        <f t="shared" si="120"/>
        <v>6102</v>
      </c>
      <c r="K483" t="str">
        <f>"01"</f>
        <v>01</v>
      </c>
      <c r="L483" s="3">
        <v>1221</v>
      </c>
      <c r="M483" s="5">
        <v>1221</v>
      </c>
      <c r="N483" s="7">
        <v>1221</v>
      </c>
      <c r="O483" s="3">
        <v>1.65</v>
      </c>
      <c r="P483" s="7">
        <v>20.149999999999999</v>
      </c>
      <c r="Q483" s="7">
        <v>0</v>
      </c>
      <c r="R483" s="7">
        <v>0</v>
      </c>
      <c r="S483" s="7">
        <v>0</v>
      </c>
      <c r="T483" s="7">
        <v>1221</v>
      </c>
      <c r="U483" s="3">
        <v>7.6</v>
      </c>
      <c r="V483" s="7">
        <v>92.8</v>
      </c>
      <c r="W483" s="7">
        <v>0</v>
      </c>
      <c r="X483" s="3">
        <v>0</v>
      </c>
      <c r="Y483" s="7">
        <v>0</v>
      </c>
    </row>
    <row r="484" spans="1:25" x14ac:dyDescent="0.25">
      <c r="A484" t="s">
        <v>25</v>
      </c>
      <c r="B484" t="s">
        <v>97</v>
      </c>
      <c r="C484" t="str">
        <f t="shared" si="126"/>
        <v>1</v>
      </c>
      <c r="D484" t="str">
        <f t="shared" si="122"/>
        <v>5</v>
      </c>
      <c r="E484" t="str">
        <f>"0076729"</f>
        <v>0076729</v>
      </c>
      <c r="F484" t="str">
        <f t="shared" si="123"/>
        <v>6123</v>
      </c>
      <c r="G484" t="str">
        <f>"22"</f>
        <v>22</v>
      </c>
      <c r="H484" t="str">
        <f t="shared" si="119"/>
        <v>01</v>
      </c>
      <c r="I484" t="s">
        <v>75</v>
      </c>
      <c r="J484" t="str">
        <f t="shared" si="120"/>
        <v>6102</v>
      </c>
      <c r="K484" t="str">
        <f>"02"</f>
        <v>02</v>
      </c>
      <c r="L484" s="3">
        <v>22</v>
      </c>
      <c r="M484" s="5">
        <v>22</v>
      </c>
      <c r="N484" s="7">
        <v>22</v>
      </c>
      <c r="O484" s="3">
        <v>1.65</v>
      </c>
      <c r="P484" s="7">
        <v>0.36</v>
      </c>
      <c r="Q484" s="7">
        <v>0</v>
      </c>
      <c r="R484" s="7">
        <v>0</v>
      </c>
      <c r="S484" s="7">
        <v>0</v>
      </c>
      <c r="T484" s="7">
        <v>22</v>
      </c>
      <c r="U484" s="3">
        <v>7.6</v>
      </c>
      <c r="V484" s="7">
        <v>1.67</v>
      </c>
      <c r="W484" s="7">
        <v>0</v>
      </c>
      <c r="X484" s="3">
        <v>0</v>
      </c>
      <c r="Y484" s="7">
        <v>0</v>
      </c>
    </row>
    <row r="485" spans="1:25" x14ac:dyDescent="0.25">
      <c r="A485" t="s">
        <v>25</v>
      </c>
      <c r="B485" t="s">
        <v>97</v>
      </c>
      <c r="C485" t="str">
        <f t="shared" si="126"/>
        <v>1</v>
      </c>
      <c r="D485" t="str">
        <f t="shared" si="122"/>
        <v>5</v>
      </c>
      <c r="E485" t="str">
        <f>"0076729"</f>
        <v>0076729</v>
      </c>
      <c r="F485" t="str">
        <f t="shared" si="123"/>
        <v>6123</v>
      </c>
      <c r="G485" t="str">
        <f>"22"</f>
        <v>22</v>
      </c>
      <c r="H485" t="str">
        <f t="shared" si="119"/>
        <v>01</v>
      </c>
      <c r="I485" t="s">
        <v>104</v>
      </c>
      <c r="J485" t="str">
        <f t="shared" si="120"/>
        <v>6102</v>
      </c>
      <c r="K485" t="str">
        <f>"01"</f>
        <v>01</v>
      </c>
      <c r="L485" s="3">
        <v>131.76</v>
      </c>
      <c r="M485" s="5">
        <v>122</v>
      </c>
      <c r="N485" s="7">
        <v>122</v>
      </c>
      <c r="O485" s="3">
        <v>1.65</v>
      </c>
      <c r="P485" s="7">
        <v>2.0099999999999998</v>
      </c>
      <c r="Q485" s="7">
        <v>0</v>
      </c>
      <c r="R485" s="7">
        <v>0</v>
      </c>
      <c r="S485" s="7">
        <v>0</v>
      </c>
      <c r="T485" s="7">
        <v>122</v>
      </c>
      <c r="U485" s="3">
        <v>7.6</v>
      </c>
      <c r="V485" s="7">
        <v>9.27</v>
      </c>
      <c r="W485" s="7">
        <v>0</v>
      </c>
      <c r="X485" s="3">
        <v>0</v>
      </c>
      <c r="Y485" s="7">
        <v>0</v>
      </c>
    </row>
    <row r="486" spans="1:25" x14ac:dyDescent="0.25">
      <c r="A486" t="s">
        <v>25</v>
      </c>
      <c r="B486" t="s">
        <v>97</v>
      </c>
      <c r="C486" t="str">
        <f t="shared" si="126"/>
        <v>1</v>
      </c>
      <c r="D486" t="str">
        <f t="shared" si="122"/>
        <v>5</v>
      </c>
      <c r="E486" t="str">
        <f>"0076729"</f>
        <v>0076729</v>
      </c>
      <c r="F486" t="str">
        <f t="shared" si="123"/>
        <v>6123</v>
      </c>
      <c r="G486" t="str">
        <f>"22"</f>
        <v>22</v>
      </c>
      <c r="H486" t="str">
        <f t="shared" si="119"/>
        <v>01</v>
      </c>
      <c r="I486" t="s">
        <v>83</v>
      </c>
      <c r="J486" t="str">
        <f t="shared" si="120"/>
        <v>6102</v>
      </c>
      <c r="K486" t="str">
        <f>"01"</f>
        <v>01</v>
      </c>
      <c r="L486" s="3">
        <v>479.52</v>
      </c>
      <c r="M486" s="5">
        <v>444</v>
      </c>
      <c r="N486" s="7">
        <v>444</v>
      </c>
      <c r="O486" s="3">
        <v>1.65</v>
      </c>
      <c r="P486" s="7">
        <v>7.33</v>
      </c>
      <c r="Q486" s="7">
        <v>0</v>
      </c>
      <c r="R486" s="7">
        <v>0</v>
      </c>
      <c r="S486" s="7">
        <v>0</v>
      </c>
      <c r="T486" s="7">
        <v>444</v>
      </c>
      <c r="U486" s="3">
        <v>7.6</v>
      </c>
      <c r="V486" s="7">
        <v>33.74</v>
      </c>
      <c r="W486" s="7">
        <v>0</v>
      </c>
      <c r="X486" s="3">
        <v>0</v>
      </c>
      <c r="Y486" s="7">
        <v>0</v>
      </c>
    </row>
    <row r="487" spans="1:25" x14ac:dyDescent="0.25">
      <c r="A487" t="s">
        <v>25</v>
      </c>
      <c r="B487" t="s">
        <v>97</v>
      </c>
      <c r="C487" t="str">
        <f t="shared" si="126"/>
        <v>1</v>
      </c>
      <c r="D487" t="str">
        <f t="shared" ref="D487:D492" si="127">"11"</f>
        <v>11</v>
      </c>
      <c r="E487" t="str">
        <f>"0290838"</f>
        <v>0290838</v>
      </c>
      <c r="F487" t="str">
        <f t="shared" si="123"/>
        <v>6123</v>
      </c>
      <c r="G487" t="str">
        <f>"70"</f>
        <v>70</v>
      </c>
      <c r="H487" t="str">
        <f>"55"</f>
        <v>55</v>
      </c>
      <c r="I487" t="s">
        <v>56</v>
      </c>
      <c r="J487" t="str">
        <f t="shared" si="120"/>
        <v>6102</v>
      </c>
      <c r="K487" t="str">
        <f>"01"</f>
        <v>01</v>
      </c>
      <c r="L487" s="3">
        <v>210</v>
      </c>
      <c r="M487" s="5">
        <v>210</v>
      </c>
      <c r="N487" s="7">
        <v>210</v>
      </c>
      <c r="O487" s="3">
        <v>0</v>
      </c>
      <c r="P487" s="7">
        <v>3.47</v>
      </c>
      <c r="Q487" s="7">
        <v>0</v>
      </c>
      <c r="R487" s="7">
        <v>0</v>
      </c>
      <c r="S487" s="7">
        <v>0</v>
      </c>
      <c r="T487" s="7">
        <v>210</v>
      </c>
      <c r="U487" s="3">
        <v>0</v>
      </c>
      <c r="V487" s="7">
        <v>15.96</v>
      </c>
      <c r="W487" s="7">
        <v>0</v>
      </c>
      <c r="X487" s="3">
        <v>0</v>
      </c>
      <c r="Y487" s="7">
        <v>0</v>
      </c>
    </row>
    <row r="488" spans="1:25" x14ac:dyDescent="0.25">
      <c r="A488" t="s">
        <v>25</v>
      </c>
      <c r="B488" t="s">
        <v>97</v>
      </c>
      <c r="C488" t="str">
        <f t="shared" si="126"/>
        <v>1</v>
      </c>
      <c r="D488" t="str">
        <f t="shared" si="127"/>
        <v>11</v>
      </c>
      <c r="E488" t="str">
        <f>"0290843"</f>
        <v>0290843</v>
      </c>
      <c r="F488" t="str">
        <f t="shared" si="123"/>
        <v>6123</v>
      </c>
      <c r="G488" t="str">
        <f>"70"</f>
        <v>70</v>
      </c>
      <c r="H488" t="str">
        <f>"55"</f>
        <v>55</v>
      </c>
      <c r="I488" t="s">
        <v>89</v>
      </c>
      <c r="J488" t="str">
        <f t="shared" si="120"/>
        <v>6102</v>
      </c>
      <c r="K488" t="str">
        <f>"05"</f>
        <v>05</v>
      </c>
      <c r="L488" s="3">
        <v>208</v>
      </c>
      <c r="M488" s="5">
        <v>208</v>
      </c>
      <c r="N488" s="7">
        <v>208</v>
      </c>
      <c r="O488" s="3">
        <v>1.65</v>
      </c>
      <c r="P488" s="7">
        <v>3.43</v>
      </c>
      <c r="Q488" s="7">
        <v>208</v>
      </c>
      <c r="R488" s="7">
        <v>0</v>
      </c>
      <c r="S488" s="7">
        <v>0</v>
      </c>
      <c r="T488" s="7">
        <v>208</v>
      </c>
      <c r="U488" s="3">
        <v>7.6</v>
      </c>
      <c r="V488" s="7">
        <v>15.81</v>
      </c>
      <c r="W488" s="7">
        <v>208</v>
      </c>
      <c r="X488" s="3">
        <v>0</v>
      </c>
      <c r="Y488" s="7">
        <v>0</v>
      </c>
    </row>
    <row r="489" spans="1:25" x14ac:dyDescent="0.25">
      <c r="A489" t="s">
        <v>25</v>
      </c>
      <c r="B489" t="s">
        <v>97</v>
      </c>
      <c r="C489" t="str">
        <f t="shared" si="126"/>
        <v>1</v>
      </c>
      <c r="D489" t="str">
        <f t="shared" si="127"/>
        <v>11</v>
      </c>
      <c r="E489" t="str">
        <f>"0290844"</f>
        <v>0290844</v>
      </c>
      <c r="F489" t="str">
        <f t="shared" si="123"/>
        <v>6123</v>
      </c>
      <c r="G489" t="str">
        <f>"81"</f>
        <v>81</v>
      </c>
      <c r="H489" t="str">
        <f>"55"</f>
        <v>55</v>
      </c>
      <c r="I489" t="s">
        <v>56</v>
      </c>
      <c r="J489" t="str">
        <f t="shared" si="120"/>
        <v>6102</v>
      </c>
      <c r="K489" t="str">
        <f>"05"</f>
        <v>05</v>
      </c>
      <c r="L489" s="3">
        <v>210</v>
      </c>
      <c r="M489" s="5">
        <v>210</v>
      </c>
      <c r="N489" s="7">
        <v>210</v>
      </c>
      <c r="O489" s="3">
        <v>1.65</v>
      </c>
      <c r="P489" s="7">
        <v>3.47</v>
      </c>
      <c r="Q489" s="7">
        <v>210</v>
      </c>
      <c r="R489" s="7">
        <v>0</v>
      </c>
      <c r="S489" s="7">
        <v>0</v>
      </c>
      <c r="T489" s="7">
        <v>210</v>
      </c>
      <c r="U489" s="3">
        <v>7.6</v>
      </c>
      <c r="V489" s="7">
        <v>15.96</v>
      </c>
      <c r="W489" s="7">
        <v>210</v>
      </c>
      <c r="X489" s="3">
        <v>0</v>
      </c>
      <c r="Y489" s="7">
        <v>0</v>
      </c>
    </row>
    <row r="490" spans="1:25" x14ac:dyDescent="0.25">
      <c r="A490" t="s">
        <v>25</v>
      </c>
      <c r="B490" t="s">
        <v>97</v>
      </c>
      <c r="C490" t="str">
        <f t="shared" si="126"/>
        <v>1</v>
      </c>
      <c r="D490" t="str">
        <f t="shared" si="127"/>
        <v>11</v>
      </c>
      <c r="E490" t="str">
        <f>"0290845"</f>
        <v>0290845</v>
      </c>
      <c r="F490" t="str">
        <f t="shared" si="123"/>
        <v>6123</v>
      </c>
      <c r="G490" t="str">
        <f t="shared" ref="G490:G496" si="128">"70"</f>
        <v>70</v>
      </c>
      <c r="H490" t="str">
        <f>"55"</f>
        <v>55</v>
      </c>
      <c r="I490" t="s">
        <v>56</v>
      </c>
      <c r="J490" t="str">
        <f t="shared" si="120"/>
        <v>6102</v>
      </c>
      <c r="K490" t="str">
        <f>"05"</f>
        <v>05</v>
      </c>
      <c r="L490" s="3">
        <v>210</v>
      </c>
      <c r="M490" s="5">
        <v>210</v>
      </c>
      <c r="N490" s="7">
        <v>210</v>
      </c>
      <c r="O490" s="3">
        <v>1.65</v>
      </c>
      <c r="P490" s="7">
        <v>3.47</v>
      </c>
      <c r="Q490" s="7">
        <v>210</v>
      </c>
      <c r="R490" s="7">
        <v>0</v>
      </c>
      <c r="S490" s="7">
        <v>0</v>
      </c>
      <c r="T490" s="7">
        <v>210</v>
      </c>
      <c r="U490" s="3">
        <v>7.6</v>
      </c>
      <c r="V490" s="7">
        <v>15.96</v>
      </c>
      <c r="W490" s="7">
        <v>210</v>
      </c>
      <c r="X490" s="3">
        <v>0</v>
      </c>
      <c r="Y490" s="7">
        <v>0</v>
      </c>
    </row>
    <row r="491" spans="1:25" x14ac:dyDescent="0.25">
      <c r="A491" t="s">
        <v>25</v>
      </c>
      <c r="B491" t="s">
        <v>97</v>
      </c>
      <c r="C491" t="str">
        <f t="shared" si="126"/>
        <v>1</v>
      </c>
      <c r="D491" t="str">
        <f t="shared" si="127"/>
        <v>11</v>
      </c>
      <c r="E491" t="str">
        <f>"0290851"</f>
        <v>0290851</v>
      </c>
      <c r="F491" t="str">
        <f t="shared" si="123"/>
        <v>6123</v>
      </c>
      <c r="G491" t="str">
        <f t="shared" si="128"/>
        <v>70</v>
      </c>
      <c r="H491" t="str">
        <f t="shared" ref="H491:H524" si="129">"01"</f>
        <v>01</v>
      </c>
      <c r="I491" t="s">
        <v>77</v>
      </c>
      <c r="J491" t="str">
        <f t="shared" si="120"/>
        <v>6102</v>
      </c>
      <c r="K491" t="str">
        <f t="shared" ref="K491:K510" si="130">"01"</f>
        <v>01</v>
      </c>
      <c r="L491" s="3">
        <v>1713.39</v>
      </c>
      <c r="M491" s="5">
        <v>600</v>
      </c>
      <c r="N491" s="7">
        <v>1713.39</v>
      </c>
      <c r="O491" s="3">
        <v>1.65</v>
      </c>
      <c r="P491" s="7">
        <v>28.27</v>
      </c>
      <c r="Q491" s="7">
        <v>0</v>
      </c>
      <c r="R491" s="7">
        <v>0</v>
      </c>
      <c r="S491" s="7">
        <v>0</v>
      </c>
      <c r="T491" s="7">
        <v>1713.39</v>
      </c>
      <c r="U491" s="3">
        <v>7.6</v>
      </c>
      <c r="V491" s="7">
        <v>130.22</v>
      </c>
      <c r="W491" s="7">
        <v>0</v>
      </c>
      <c r="X491" s="3">
        <v>0</v>
      </c>
      <c r="Y491" s="7">
        <v>0</v>
      </c>
    </row>
    <row r="492" spans="1:25" x14ac:dyDescent="0.25">
      <c r="A492" t="s">
        <v>25</v>
      </c>
      <c r="B492" t="s">
        <v>97</v>
      </c>
      <c r="C492" t="str">
        <f t="shared" si="126"/>
        <v>1</v>
      </c>
      <c r="D492" t="str">
        <f t="shared" si="127"/>
        <v>11</v>
      </c>
      <c r="E492" t="str">
        <f>"0290851"</f>
        <v>0290851</v>
      </c>
      <c r="F492" t="str">
        <f t="shared" si="123"/>
        <v>6123</v>
      </c>
      <c r="G492" t="str">
        <f t="shared" si="128"/>
        <v>70</v>
      </c>
      <c r="H492" t="str">
        <f t="shared" si="129"/>
        <v>01</v>
      </c>
      <c r="I492" t="s">
        <v>89</v>
      </c>
      <c r="J492" t="str">
        <f t="shared" si="120"/>
        <v>6102</v>
      </c>
      <c r="K492" t="str">
        <f t="shared" si="130"/>
        <v>01</v>
      </c>
      <c r="L492" s="3">
        <v>633.94000000000005</v>
      </c>
      <c r="M492" s="5">
        <v>222</v>
      </c>
      <c r="N492" s="7">
        <v>633.94000000000005</v>
      </c>
      <c r="O492" s="3">
        <v>1.65</v>
      </c>
      <c r="P492" s="7">
        <v>10.46</v>
      </c>
      <c r="Q492" s="7">
        <v>0</v>
      </c>
      <c r="R492" s="7">
        <v>0</v>
      </c>
      <c r="S492" s="7">
        <v>0</v>
      </c>
      <c r="T492" s="7">
        <v>633.94000000000005</v>
      </c>
      <c r="U492" s="3">
        <v>7.6</v>
      </c>
      <c r="V492" s="7">
        <v>48.18</v>
      </c>
      <c r="W492" s="7">
        <v>0</v>
      </c>
      <c r="X492" s="3">
        <v>0</v>
      </c>
      <c r="Y492" s="7">
        <v>0</v>
      </c>
    </row>
    <row r="493" spans="1:25" x14ac:dyDescent="0.25">
      <c r="A493" t="s">
        <v>25</v>
      </c>
      <c r="B493" t="s">
        <v>97</v>
      </c>
      <c r="C493" t="str">
        <f t="shared" si="126"/>
        <v>1</v>
      </c>
      <c r="D493" t="str">
        <f>"15"</f>
        <v>15</v>
      </c>
      <c r="E493" t="str">
        <f>"1234567894"</f>
        <v>1234567894</v>
      </c>
      <c r="F493" t="str">
        <f t="shared" si="123"/>
        <v>6123</v>
      </c>
      <c r="G493" t="str">
        <f t="shared" si="128"/>
        <v>70</v>
      </c>
      <c r="H493" t="str">
        <f t="shared" si="129"/>
        <v>01</v>
      </c>
      <c r="I493" t="s">
        <v>83</v>
      </c>
      <c r="J493" t="str">
        <f t="shared" si="120"/>
        <v>6102</v>
      </c>
      <c r="K493" t="str">
        <f t="shared" si="130"/>
        <v>01</v>
      </c>
      <c r="L493" s="3">
        <v>28.36</v>
      </c>
      <c r="M493" s="5">
        <v>26.26</v>
      </c>
      <c r="N493" s="7">
        <v>26.26</v>
      </c>
      <c r="O493" s="3">
        <v>0</v>
      </c>
      <c r="P493" s="7">
        <v>0.43</v>
      </c>
      <c r="Q493" s="7">
        <v>0</v>
      </c>
      <c r="R493" s="7">
        <v>0</v>
      </c>
      <c r="S493" s="7">
        <v>0</v>
      </c>
      <c r="T493" s="7">
        <v>26.26</v>
      </c>
      <c r="U493" s="3">
        <v>0</v>
      </c>
      <c r="V493" s="7">
        <v>2</v>
      </c>
      <c r="W493" s="7">
        <v>0</v>
      </c>
      <c r="X493" s="3">
        <v>0</v>
      </c>
      <c r="Y493" s="7">
        <v>0</v>
      </c>
    </row>
    <row r="494" spans="1:25" x14ac:dyDescent="0.25">
      <c r="A494" t="s">
        <v>25</v>
      </c>
      <c r="B494" t="s">
        <v>97</v>
      </c>
      <c r="C494" t="str">
        <f t="shared" si="126"/>
        <v>1</v>
      </c>
      <c r="D494" t="str">
        <f>"15"</f>
        <v>15</v>
      </c>
      <c r="E494" t="str">
        <f>"1234567894"</f>
        <v>1234567894</v>
      </c>
      <c r="F494" t="str">
        <f t="shared" si="123"/>
        <v>6123</v>
      </c>
      <c r="G494" t="str">
        <f t="shared" si="128"/>
        <v>70</v>
      </c>
      <c r="H494" t="str">
        <f t="shared" si="129"/>
        <v>01</v>
      </c>
      <c r="I494" t="s">
        <v>89</v>
      </c>
      <c r="J494" t="str">
        <f t="shared" si="120"/>
        <v>6102</v>
      </c>
      <c r="K494" t="str">
        <f t="shared" si="130"/>
        <v>01</v>
      </c>
      <c r="L494" s="3">
        <v>104</v>
      </c>
      <c r="M494" s="5">
        <v>104</v>
      </c>
      <c r="N494" s="7">
        <v>104</v>
      </c>
      <c r="O494" s="3">
        <v>0</v>
      </c>
      <c r="P494" s="7">
        <v>1.72</v>
      </c>
      <c r="Q494" s="7">
        <v>0</v>
      </c>
      <c r="R494" s="7">
        <v>0</v>
      </c>
      <c r="S494" s="7">
        <v>0</v>
      </c>
      <c r="T494" s="7">
        <v>104</v>
      </c>
      <c r="U494" s="3">
        <v>0</v>
      </c>
      <c r="V494" s="7">
        <v>7.9</v>
      </c>
      <c r="W494" s="7">
        <v>0</v>
      </c>
      <c r="X494" s="3">
        <v>0</v>
      </c>
      <c r="Y494" s="7">
        <v>0</v>
      </c>
    </row>
    <row r="495" spans="1:25" x14ac:dyDescent="0.25">
      <c r="A495" t="s">
        <v>25</v>
      </c>
      <c r="B495" t="s">
        <v>97</v>
      </c>
      <c r="C495" t="str">
        <f t="shared" si="126"/>
        <v>1</v>
      </c>
      <c r="D495" t="str">
        <f>"15"</f>
        <v>15</v>
      </c>
      <c r="E495" t="str">
        <f>"1234567894"</f>
        <v>1234567894</v>
      </c>
      <c r="F495" t="str">
        <f t="shared" si="123"/>
        <v>6123</v>
      </c>
      <c r="G495" t="str">
        <f t="shared" si="128"/>
        <v>70</v>
      </c>
      <c r="H495" t="str">
        <f t="shared" si="129"/>
        <v>01</v>
      </c>
      <c r="I495" t="s">
        <v>107</v>
      </c>
      <c r="J495" t="str">
        <f t="shared" si="120"/>
        <v>6102</v>
      </c>
      <c r="K495" t="str">
        <f t="shared" si="130"/>
        <v>01</v>
      </c>
      <c r="L495" s="3">
        <v>216</v>
      </c>
      <c r="M495" s="5">
        <v>216</v>
      </c>
      <c r="N495" s="7">
        <v>216</v>
      </c>
      <c r="O495" s="3">
        <v>0</v>
      </c>
      <c r="P495" s="7">
        <v>3.56</v>
      </c>
      <c r="Q495" s="7">
        <v>0</v>
      </c>
      <c r="R495" s="7">
        <v>0</v>
      </c>
      <c r="S495" s="7">
        <v>0</v>
      </c>
      <c r="T495" s="7">
        <v>216</v>
      </c>
      <c r="U495" s="3">
        <v>0</v>
      </c>
      <c r="V495" s="7">
        <v>16.420000000000002</v>
      </c>
      <c r="W495" s="7">
        <v>0</v>
      </c>
      <c r="X495" s="3">
        <v>0</v>
      </c>
      <c r="Y495" s="7">
        <v>0</v>
      </c>
    </row>
    <row r="496" spans="1:25" x14ac:dyDescent="0.25">
      <c r="A496" t="s">
        <v>25</v>
      </c>
      <c r="B496" t="s">
        <v>97</v>
      </c>
      <c r="C496" t="str">
        <f t="shared" si="126"/>
        <v>1</v>
      </c>
      <c r="D496" t="str">
        <f>"15"</f>
        <v>15</v>
      </c>
      <c r="E496" t="str">
        <f>"1234567894"</f>
        <v>1234567894</v>
      </c>
      <c r="F496" t="str">
        <f t="shared" si="123"/>
        <v>6123</v>
      </c>
      <c r="G496" t="str">
        <f t="shared" si="128"/>
        <v>70</v>
      </c>
      <c r="H496" t="str">
        <f t="shared" si="129"/>
        <v>01</v>
      </c>
      <c r="I496" t="s">
        <v>56</v>
      </c>
      <c r="J496" t="str">
        <f t="shared" si="120"/>
        <v>6102</v>
      </c>
      <c r="K496" t="str">
        <f t="shared" si="130"/>
        <v>01</v>
      </c>
      <c r="L496" s="3">
        <v>210</v>
      </c>
      <c r="M496" s="5">
        <v>210</v>
      </c>
      <c r="N496" s="7">
        <v>210</v>
      </c>
      <c r="O496" s="3">
        <v>0</v>
      </c>
      <c r="P496" s="7">
        <v>3.47</v>
      </c>
      <c r="Q496" s="7">
        <v>0</v>
      </c>
      <c r="R496" s="7">
        <v>0</v>
      </c>
      <c r="S496" s="7">
        <v>0</v>
      </c>
      <c r="T496" s="7">
        <v>210</v>
      </c>
      <c r="U496" s="3">
        <v>0</v>
      </c>
      <c r="V496" s="7">
        <v>15.96</v>
      </c>
      <c r="W496" s="7">
        <v>0</v>
      </c>
      <c r="X496" s="3">
        <v>0</v>
      </c>
      <c r="Y496" s="7">
        <v>0</v>
      </c>
    </row>
    <row r="497" spans="1:25" x14ac:dyDescent="0.25">
      <c r="A497" t="s">
        <v>25</v>
      </c>
      <c r="B497" t="s">
        <v>97</v>
      </c>
      <c r="C497" t="str">
        <f t="shared" si="126"/>
        <v>1</v>
      </c>
      <c r="D497" t="str">
        <f>"5"</f>
        <v>5</v>
      </c>
      <c r="E497" t="str">
        <f>"0076325"</f>
        <v>0076325</v>
      </c>
      <c r="F497" t="s">
        <v>115</v>
      </c>
      <c r="G497" t="str">
        <f t="shared" ref="G497:G510" si="131">"13"</f>
        <v>13</v>
      </c>
      <c r="H497" t="str">
        <f t="shared" si="129"/>
        <v>01</v>
      </c>
      <c r="I497" t="s">
        <v>116</v>
      </c>
      <c r="J497" t="str">
        <f t="shared" ref="J497:J510" si="132">"6109"</f>
        <v>6109</v>
      </c>
      <c r="K497" t="str">
        <f t="shared" si="130"/>
        <v>01</v>
      </c>
      <c r="L497" s="3">
        <v>5600</v>
      </c>
      <c r="M497" s="5">
        <v>5600</v>
      </c>
      <c r="N497" s="7">
        <v>5600</v>
      </c>
      <c r="O497" s="3">
        <v>0</v>
      </c>
      <c r="P497" s="7">
        <v>92.4</v>
      </c>
      <c r="Q497" s="7">
        <v>0</v>
      </c>
      <c r="R497" s="7">
        <v>0</v>
      </c>
      <c r="S497" s="7">
        <v>0</v>
      </c>
      <c r="T497" s="7">
        <v>5600</v>
      </c>
      <c r="U497" s="3">
        <v>0</v>
      </c>
      <c r="V497" s="7">
        <v>425.6</v>
      </c>
      <c r="W497" s="7">
        <v>0</v>
      </c>
      <c r="X497" s="3">
        <v>0</v>
      </c>
      <c r="Y497" s="7">
        <v>0</v>
      </c>
    </row>
    <row r="498" spans="1:25" x14ac:dyDescent="0.25">
      <c r="A498" t="s">
        <v>25</v>
      </c>
      <c r="B498" t="s">
        <v>97</v>
      </c>
      <c r="C498" t="str">
        <f t="shared" si="126"/>
        <v>1</v>
      </c>
      <c r="D498" t="str">
        <f>"5"</f>
        <v>5</v>
      </c>
      <c r="E498" t="str">
        <f>"0076342"</f>
        <v>0076342</v>
      </c>
      <c r="F498" t="s">
        <v>115</v>
      </c>
      <c r="G498" t="str">
        <f t="shared" si="131"/>
        <v>13</v>
      </c>
      <c r="H498" t="str">
        <f t="shared" si="129"/>
        <v>01</v>
      </c>
      <c r="I498" t="s">
        <v>116</v>
      </c>
      <c r="J498" t="str">
        <f t="shared" si="132"/>
        <v>6109</v>
      </c>
      <c r="K498" t="str">
        <f t="shared" si="130"/>
        <v>01</v>
      </c>
      <c r="L498" s="3">
        <v>560</v>
      </c>
      <c r="M498" s="5">
        <v>560</v>
      </c>
      <c r="N498" s="7">
        <v>560</v>
      </c>
      <c r="O498" s="3">
        <v>0</v>
      </c>
      <c r="P498" s="7">
        <v>9.24</v>
      </c>
      <c r="Q498" s="7">
        <v>0</v>
      </c>
      <c r="R498" s="7">
        <v>0</v>
      </c>
      <c r="S498" s="7">
        <v>0</v>
      </c>
      <c r="T498" s="7">
        <v>560</v>
      </c>
      <c r="U498" s="3">
        <v>0</v>
      </c>
      <c r="V498" s="7">
        <v>42.56</v>
      </c>
      <c r="W498" s="7">
        <v>0</v>
      </c>
      <c r="X498" s="3">
        <v>0</v>
      </c>
      <c r="Y498" s="7">
        <v>0</v>
      </c>
    </row>
    <row r="499" spans="1:25" x14ac:dyDescent="0.25">
      <c r="A499" t="s">
        <v>25</v>
      </c>
      <c r="B499" t="s">
        <v>97</v>
      </c>
      <c r="C499" t="str">
        <f t="shared" si="126"/>
        <v>1</v>
      </c>
      <c r="D499" t="str">
        <f>"5"</f>
        <v>5</v>
      </c>
      <c r="E499" t="str">
        <f>"0076505"</f>
        <v>0076505</v>
      </c>
      <c r="F499" t="s">
        <v>115</v>
      </c>
      <c r="G499" t="str">
        <f t="shared" si="131"/>
        <v>13</v>
      </c>
      <c r="H499" t="str">
        <f t="shared" si="129"/>
        <v>01</v>
      </c>
      <c r="I499" t="s">
        <v>28</v>
      </c>
      <c r="J499" t="str">
        <f t="shared" si="132"/>
        <v>6109</v>
      </c>
      <c r="K499" t="str">
        <f t="shared" si="130"/>
        <v>01</v>
      </c>
      <c r="L499" s="3">
        <v>64472.5</v>
      </c>
      <c r="M499" s="5">
        <v>64472.5</v>
      </c>
      <c r="N499" s="7">
        <v>64472.5</v>
      </c>
      <c r="O499" s="3">
        <v>0</v>
      </c>
      <c r="P499" s="7">
        <v>1063.8</v>
      </c>
      <c r="Q499" s="7">
        <v>0</v>
      </c>
      <c r="R499" s="7">
        <v>0</v>
      </c>
      <c r="S499" s="7">
        <v>0</v>
      </c>
      <c r="T499" s="7">
        <v>64472.5</v>
      </c>
      <c r="U499" s="3">
        <v>0</v>
      </c>
      <c r="V499" s="7">
        <v>4899.91</v>
      </c>
      <c r="W499" s="7">
        <v>0</v>
      </c>
      <c r="X499" s="3">
        <v>0</v>
      </c>
      <c r="Y499" s="7">
        <v>0</v>
      </c>
    </row>
    <row r="500" spans="1:25" x14ac:dyDescent="0.25">
      <c r="A500" t="s">
        <v>25</v>
      </c>
      <c r="B500" t="s">
        <v>97</v>
      </c>
      <c r="C500" t="str">
        <f t="shared" si="126"/>
        <v>1</v>
      </c>
      <c r="D500" t="str">
        <f>"5"</f>
        <v>5</v>
      </c>
      <c r="E500" t="str">
        <f>"0076513"</f>
        <v>0076513</v>
      </c>
      <c r="F500" t="s">
        <v>115</v>
      </c>
      <c r="G500" t="str">
        <f t="shared" si="131"/>
        <v>13</v>
      </c>
      <c r="H500" t="str">
        <f t="shared" si="129"/>
        <v>01</v>
      </c>
      <c r="I500" t="s">
        <v>28</v>
      </c>
      <c r="J500" t="str">
        <f t="shared" si="132"/>
        <v>6109</v>
      </c>
      <c r="K500" t="str">
        <f t="shared" si="130"/>
        <v>01</v>
      </c>
      <c r="L500" s="3">
        <v>8300</v>
      </c>
      <c r="M500" s="5">
        <v>8300</v>
      </c>
      <c r="N500" s="7">
        <v>8300</v>
      </c>
      <c r="O500" s="3">
        <v>0</v>
      </c>
      <c r="P500" s="7">
        <v>136.94999999999999</v>
      </c>
      <c r="Q500" s="7">
        <v>0</v>
      </c>
      <c r="R500" s="7">
        <v>0</v>
      </c>
      <c r="S500" s="7">
        <v>0</v>
      </c>
      <c r="T500" s="7">
        <v>8300</v>
      </c>
      <c r="U500" s="3">
        <v>0</v>
      </c>
      <c r="V500" s="7">
        <v>630.79999999999995</v>
      </c>
      <c r="W500" s="7">
        <v>0</v>
      </c>
      <c r="X500" s="3">
        <v>0</v>
      </c>
      <c r="Y500" s="7">
        <v>0</v>
      </c>
    </row>
    <row r="501" spans="1:25" x14ac:dyDescent="0.25">
      <c r="A501" t="s">
        <v>25</v>
      </c>
      <c r="B501" t="s">
        <v>97</v>
      </c>
      <c r="C501" t="str">
        <f t="shared" si="126"/>
        <v>1</v>
      </c>
      <c r="D501" t="str">
        <f t="shared" ref="D501:D510" si="133">"11"</f>
        <v>11</v>
      </c>
      <c r="E501" t="str">
        <f>"0290855"</f>
        <v>0290855</v>
      </c>
      <c r="F501" t="s">
        <v>115</v>
      </c>
      <c r="G501" t="str">
        <f t="shared" si="131"/>
        <v>13</v>
      </c>
      <c r="H501" t="str">
        <f t="shared" si="129"/>
        <v>01</v>
      </c>
      <c r="I501" t="s">
        <v>117</v>
      </c>
      <c r="J501" t="str">
        <f t="shared" si="132"/>
        <v>6109</v>
      </c>
      <c r="K501" t="str">
        <f t="shared" si="130"/>
        <v>01</v>
      </c>
      <c r="L501" s="3">
        <v>1030</v>
      </c>
      <c r="M501" s="5">
        <v>600</v>
      </c>
      <c r="N501" s="7">
        <v>1030</v>
      </c>
      <c r="O501" s="3">
        <v>1.65</v>
      </c>
      <c r="P501" s="7">
        <v>17</v>
      </c>
      <c r="Q501" s="7">
        <v>0</v>
      </c>
      <c r="R501" s="7">
        <v>0</v>
      </c>
      <c r="S501" s="7">
        <v>0</v>
      </c>
      <c r="T501" s="7">
        <v>1030</v>
      </c>
      <c r="U501" s="3">
        <v>7.6</v>
      </c>
      <c r="V501" s="7">
        <v>78.28</v>
      </c>
      <c r="W501" s="7">
        <v>0</v>
      </c>
      <c r="X501" s="3">
        <v>0</v>
      </c>
      <c r="Y501" s="7">
        <v>0</v>
      </c>
    </row>
    <row r="502" spans="1:25" x14ac:dyDescent="0.25">
      <c r="A502" t="s">
        <v>25</v>
      </c>
      <c r="B502" t="s">
        <v>97</v>
      </c>
      <c r="C502" t="str">
        <f t="shared" si="126"/>
        <v>1</v>
      </c>
      <c r="D502" t="str">
        <f t="shared" si="133"/>
        <v>11</v>
      </c>
      <c r="E502" t="str">
        <f t="shared" ref="E502:E510" si="134">"0290857"</f>
        <v>0290857</v>
      </c>
      <c r="F502" t="s">
        <v>115</v>
      </c>
      <c r="G502" t="str">
        <f t="shared" si="131"/>
        <v>13</v>
      </c>
      <c r="H502" t="str">
        <f t="shared" si="129"/>
        <v>01</v>
      </c>
      <c r="I502" t="s">
        <v>109</v>
      </c>
      <c r="J502" t="str">
        <f t="shared" si="132"/>
        <v>6109</v>
      </c>
      <c r="K502" t="str">
        <f t="shared" si="130"/>
        <v>01</v>
      </c>
      <c r="L502" s="3">
        <v>1304.83</v>
      </c>
      <c r="M502" s="5">
        <v>1000</v>
      </c>
      <c r="N502" s="7">
        <v>1304.83</v>
      </c>
      <c r="O502" s="3">
        <v>1.65</v>
      </c>
      <c r="P502" s="7">
        <v>21.53</v>
      </c>
      <c r="Q502" s="7">
        <v>0</v>
      </c>
      <c r="R502" s="7">
        <v>0</v>
      </c>
      <c r="S502" s="7">
        <v>0</v>
      </c>
      <c r="T502" s="7">
        <v>1304.83</v>
      </c>
      <c r="U502" s="3">
        <v>7.6</v>
      </c>
      <c r="V502" s="7">
        <v>99.17</v>
      </c>
      <c r="W502" s="7">
        <v>0</v>
      </c>
      <c r="X502" s="3">
        <v>0</v>
      </c>
      <c r="Y502" s="7">
        <v>0</v>
      </c>
    </row>
    <row r="503" spans="1:25" x14ac:dyDescent="0.25">
      <c r="A503" t="s">
        <v>25</v>
      </c>
      <c r="B503" t="s">
        <v>97</v>
      </c>
      <c r="C503" t="str">
        <f t="shared" si="126"/>
        <v>1</v>
      </c>
      <c r="D503" t="str">
        <f t="shared" si="133"/>
        <v>11</v>
      </c>
      <c r="E503" t="str">
        <f t="shared" si="134"/>
        <v>0290857</v>
      </c>
      <c r="F503" t="s">
        <v>115</v>
      </c>
      <c r="G503" t="str">
        <f t="shared" si="131"/>
        <v>13</v>
      </c>
      <c r="H503" t="str">
        <f t="shared" si="129"/>
        <v>01</v>
      </c>
      <c r="I503" t="s">
        <v>118</v>
      </c>
      <c r="J503" t="str">
        <f t="shared" si="132"/>
        <v>6109</v>
      </c>
      <c r="K503" t="str">
        <f t="shared" si="130"/>
        <v>01</v>
      </c>
      <c r="L503" s="3">
        <v>7046.16</v>
      </c>
      <c r="M503" s="5">
        <v>5400</v>
      </c>
      <c r="N503" s="7">
        <v>7046.16</v>
      </c>
      <c r="O503" s="3">
        <v>1.65</v>
      </c>
      <c r="P503" s="7">
        <v>116.26</v>
      </c>
      <c r="Q503" s="7">
        <v>0</v>
      </c>
      <c r="R503" s="7">
        <v>0</v>
      </c>
      <c r="S503" s="7">
        <v>0</v>
      </c>
      <c r="T503" s="7">
        <v>7046.16</v>
      </c>
      <c r="U503" s="3">
        <v>7.6</v>
      </c>
      <c r="V503" s="7">
        <v>535.51</v>
      </c>
      <c r="W503" s="7">
        <v>0</v>
      </c>
      <c r="X503" s="3">
        <v>0</v>
      </c>
      <c r="Y503" s="7">
        <v>0</v>
      </c>
    </row>
    <row r="504" spans="1:25" x14ac:dyDescent="0.25">
      <c r="A504" t="s">
        <v>25</v>
      </c>
      <c r="B504" t="s">
        <v>97</v>
      </c>
      <c r="C504" t="str">
        <f t="shared" si="126"/>
        <v>1</v>
      </c>
      <c r="D504" t="str">
        <f t="shared" si="133"/>
        <v>11</v>
      </c>
      <c r="E504" t="str">
        <f t="shared" si="134"/>
        <v>0290857</v>
      </c>
      <c r="F504" t="s">
        <v>115</v>
      </c>
      <c r="G504" t="str">
        <f t="shared" si="131"/>
        <v>13</v>
      </c>
      <c r="H504" t="str">
        <f t="shared" si="129"/>
        <v>01</v>
      </c>
      <c r="I504" t="s">
        <v>37</v>
      </c>
      <c r="J504" t="str">
        <f t="shared" si="132"/>
        <v>6109</v>
      </c>
      <c r="K504" t="str">
        <f t="shared" si="130"/>
        <v>01</v>
      </c>
      <c r="L504" s="3">
        <v>1685.2</v>
      </c>
      <c r="M504" s="5">
        <v>1230</v>
      </c>
      <c r="N504" s="7">
        <v>1604.95</v>
      </c>
      <c r="O504" s="3">
        <v>1.65</v>
      </c>
      <c r="P504" s="7">
        <v>26.48</v>
      </c>
      <c r="Q504" s="7">
        <v>0</v>
      </c>
      <c r="R504" s="7">
        <v>0</v>
      </c>
      <c r="S504" s="7">
        <v>0</v>
      </c>
      <c r="T504" s="7">
        <v>1604.95</v>
      </c>
      <c r="U504" s="3">
        <v>7.6</v>
      </c>
      <c r="V504" s="7">
        <v>121.98</v>
      </c>
      <c r="W504" s="7">
        <v>0</v>
      </c>
      <c r="X504" s="3">
        <v>0</v>
      </c>
      <c r="Y504" s="7">
        <v>0</v>
      </c>
    </row>
    <row r="505" spans="1:25" x14ac:dyDescent="0.25">
      <c r="A505" t="s">
        <v>25</v>
      </c>
      <c r="B505" t="s">
        <v>97</v>
      </c>
      <c r="C505" t="str">
        <f t="shared" si="126"/>
        <v>1</v>
      </c>
      <c r="D505" t="str">
        <f t="shared" si="133"/>
        <v>11</v>
      </c>
      <c r="E505" t="str">
        <f t="shared" si="134"/>
        <v>0290857</v>
      </c>
      <c r="F505" t="s">
        <v>115</v>
      </c>
      <c r="G505" t="str">
        <f t="shared" si="131"/>
        <v>13</v>
      </c>
      <c r="H505" t="str">
        <f t="shared" si="129"/>
        <v>01</v>
      </c>
      <c r="I505" t="s">
        <v>42</v>
      </c>
      <c r="J505" t="str">
        <f t="shared" si="132"/>
        <v>6109</v>
      </c>
      <c r="K505" t="str">
        <f t="shared" si="130"/>
        <v>01</v>
      </c>
      <c r="L505" s="3">
        <v>27.54</v>
      </c>
      <c r="M505" s="5">
        <v>20</v>
      </c>
      <c r="N505" s="7">
        <v>26.23</v>
      </c>
      <c r="O505" s="3">
        <v>1.65</v>
      </c>
      <c r="P505" s="7">
        <v>0.43</v>
      </c>
      <c r="Q505" s="7">
        <v>0</v>
      </c>
      <c r="R505" s="7">
        <v>0</v>
      </c>
      <c r="S505" s="7">
        <v>0</v>
      </c>
      <c r="T505" s="7">
        <v>26.23</v>
      </c>
      <c r="U505" s="3">
        <v>7.6</v>
      </c>
      <c r="V505" s="7">
        <v>1.99</v>
      </c>
      <c r="W505" s="7">
        <v>0</v>
      </c>
      <c r="X505" s="3">
        <v>0</v>
      </c>
      <c r="Y505" s="7">
        <v>0</v>
      </c>
    </row>
    <row r="506" spans="1:25" x14ac:dyDescent="0.25">
      <c r="A506" t="s">
        <v>25</v>
      </c>
      <c r="B506" t="s">
        <v>97</v>
      </c>
      <c r="C506" t="str">
        <f t="shared" si="126"/>
        <v>1</v>
      </c>
      <c r="D506" t="str">
        <f t="shared" si="133"/>
        <v>11</v>
      </c>
      <c r="E506" t="str">
        <f t="shared" si="134"/>
        <v>0290857</v>
      </c>
      <c r="F506" t="s">
        <v>115</v>
      </c>
      <c r="G506" t="str">
        <f t="shared" si="131"/>
        <v>13</v>
      </c>
      <c r="H506" t="str">
        <f t="shared" si="129"/>
        <v>01</v>
      </c>
      <c r="I506" t="s">
        <v>73</v>
      </c>
      <c r="J506" t="str">
        <f t="shared" si="132"/>
        <v>6109</v>
      </c>
      <c r="K506" t="str">
        <f t="shared" si="130"/>
        <v>01</v>
      </c>
      <c r="L506" s="3">
        <v>7864.3</v>
      </c>
      <c r="M506" s="5">
        <v>6027</v>
      </c>
      <c r="N506" s="7">
        <v>7864.3</v>
      </c>
      <c r="O506" s="3">
        <v>1.65</v>
      </c>
      <c r="P506" s="7">
        <v>129.76</v>
      </c>
      <c r="Q506" s="7">
        <v>0</v>
      </c>
      <c r="R506" s="7">
        <v>0</v>
      </c>
      <c r="S506" s="7">
        <v>0</v>
      </c>
      <c r="T506" s="7">
        <v>7864.3</v>
      </c>
      <c r="U506" s="3">
        <v>7.6</v>
      </c>
      <c r="V506" s="7">
        <v>597.69000000000005</v>
      </c>
      <c r="W506" s="7">
        <v>0</v>
      </c>
      <c r="X506" s="3">
        <v>0</v>
      </c>
      <c r="Y506" s="7">
        <v>0</v>
      </c>
    </row>
    <row r="507" spans="1:25" x14ac:dyDescent="0.25">
      <c r="A507" t="s">
        <v>25</v>
      </c>
      <c r="B507" t="s">
        <v>97</v>
      </c>
      <c r="C507" t="str">
        <f t="shared" si="126"/>
        <v>1</v>
      </c>
      <c r="D507" t="str">
        <f t="shared" si="133"/>
        <v>11</v>
      </c>
      <c r="E507" t="str">
        <f t="shared" si="134"/>
        <v>0290857</v>
      </c>
      <c r="F507" t="s">
        <v>115</v>
      </c>
      <c r="G507" t="str">
        <f t="shared" si="131"/>
        <v>13</v>
      </c>
      <c r="H507" t="str">
        <f t="shared" si="129"/>
        <v>01</v>
      </c>
      <c r="I507" t="s">
        <v>90</v>
      </c>
      <c r="J507" t="str">
        <f t="shared" si="132"/>
        <v>6109</v>
      </c>
      <c r="K507" t="str">
        <f t="shared" si="130"/>
        <v>01</v>
      </c>
      <c r="L507" s="3">
        <v>1670.19</v>
      </c>
      <c r="M507" s="5">
        <v>1280</v>
      </c>
      <c r="N507" s="7">
        <v>1670.19</v>
      </c>
      <c r="O507" s="3">
        <v>1.65</v>
      </c>
      <c r="P507" s="7">
        <v>27.56</v>
      </c>
      <c r="Q507" s="7">
        <v>0</v>
      </c>
      <c r="R507" s="7">
        <v>0</v>
      </c>
      <c r="S507" s="7">
        <v>0</v>
      </c>
      <c r="T507" s="7">
        <v>1670.19</v>
      </c>
      <c r="U507" s="3">
        <v>7.6</v>
      </c>
      <c r="V507" s="7">
        <v>126.93</v>
      </c>
      <c r="W507" s="7">
        <v>0</v>
      </c>
      <c r="X507" s="3">
        <v>0</v>
      </c>
      <c r="Y507" s="7">
        <v>0</v>
      </c>
    </row>
    <row r="508" spans="1:25" x14ac:dyDescent="0.25">
      <c r="A508" t="s">
        <v>25</v>
      </c>
      <c r="B508" t="s">
        <v>97</v>
      </c>
      <c r="C508" t="str">
        <f t="shared" si="126"/>
        <v>1</v>
      </c>
      <c r="D508" t="str">
        <f t="shared" si="133"/>
        <v>11</v>
      </c>
      <c r="E508" t="str">
        <f t="shared" si="134"/>
        <v>0290857</v>
      </c>
      <c r="F508" t="s">
        <v>115</v>
      </c>
      <c r="G508" t="str">
        <f t="shared" si="131"/>
        <v>13</v>
      </c>
      <c r="H508" t="str">
        <f t="shared" si="129"/>
        <v>01</v>
      </c>
      <c r="I508" t="s">
        <v>82</v>
      </c>
      <c r="J508" t="str">
        <f t="shared" si="132"/>
        <v>6109</v>
      </c>
      <c r="K508" t="str">
        <f t="shared" si="130"/>
        <v>01</v>
      </c>
      <c r="L508" s="3">
        <v>1573.62</v>
      </c>
      <c r="M508" s="5">
        <v>1206</v>
      </c>
      <c r="N508" s="7">
        <v>1573.62</v>
      </c>
      <c r="O508" s="3">
        <v>1.65</v>
      </c>
      <c r="P508" s="7">
        <v>25.96</v>
      </c>
      <c r="Q508" s="7">
        <v>0</v>
      </c>
      <c r="R508" s="7">
        <v>0</v>
      </c>
      <c r="S508" s="7">
        <v>0</v>
      </c>
      <c r="T508" s="7">
        <v>1573.62</v>
      </c>
      <c r="U508" s="3">
        <v>7.6</v>
      </c>
      <c r="V508" s="7">
        <v>119.6</v>
      </c>
      <c r="W508" s="7">
        <v>0</v>
      </c>
      <c r="X508" s="3">
        <v>0</v>
      </c>
      <c r="Y508" s="7">
        <v>0</v>
      </c>
    </row>
    <row r="509" spans="1:25" x14ac:dyDescent="0.25">
      <c r="A509" t="s">
        <v>25</v>
      </c>
      <c r="B509" t="s">
        <v>97</v>
      </c>
      <c r="C509" t="str">
        <f t="shared" si="126"/>
        <v>1</v>
      </c>
      <c r="D509" t="str">
        <f t="shared" si="133"/>
        <v>11</v>
      </c>
      <c r="E509" t="str">
        <f t="shared" si="134"/>
        <v>0290857</v>
      </c>
      <c r="F509" t="s">
        <v>115</v>
      </c>
      <c r="G509" t="str">
        <f t="shared" si="131"/>
        <v>13</v>
      </c>
      <c r="H509" t="str">
        <f t="shared" si="129"/>
        <v>01</v>
      </c>
      <c r="I509" t="s">
        <v>119</v>
      </c>
      <c r="J509" t="str">
        <f t="shared" si="132"/>
        <v>6109</v>
      </c>
      <c r="K509" t="str">
        <f t="shared" si="130"/>
        <v>01</v>
      </c>
      <c r="L509" s="3">
        <v>822.04</v>
      </c>
      <c r="M509" s="5">
        <v>630</v>
      </c>
      <c r="N509" s="7">
        <v>822.04</v>
      </c>
      <c r="O509" s="3">
        <v>1.65</v>
      </c>
      <c r="P509" s="7">
        <v>13.56</v>
      </c>
      <c r="Q509" s="7">
        <v>0</v>
      </c>
      <c r="R509" s="7">
        <v>0</v>
      </c>
      <c r="S509" s="7">
        <v>0</v>
      </c>
      <c r="T509" s="7">
        <v>822.04</v>
      </c>
      <c r="U509" s="3">
        <v>7.6</v>
      </c>
      <c r="V509" s="7">
        <v>62.48</v>
      </c>
      <c r="W509" s="7">
        <v>0</v>
      </c>
      <c r="X509" s="3">
        <v>0</v>
      </c>
      <c r="Y509" s="7">
        <v>0</v>
      </c>
    </row>
    <row r="510" spans="1:25" x14ac:dyDescent="0.25">
      <c r="A510" t="s">
        <v>25</v>
      </c>
      <c r="B510" t="s">
        <v>97</v>
      </c>
      <c r="C510" t="str">
        <f t="shared" si="126"/>
        <v>1</v>
      </c>
      <c r="D510" t="str">
        <f t="shared" si="133"/>
        <v>11</v>
      </c>
      <c r="E510" t="str">
        <f t="shared" si="134"/>
        <v>0290857</v>
      </c>
      <c r="F510" t="s">
        <v>115</v>
      </c>
      <c r="G510" t="str">
        <f t="shared" si="131"/>
        <v>13</v>
      </c>
      <c r="H510" t="str">
        <f t="shared" si="129"/>
        <v>01</v>
      </c>
      <c r="I510" t="s">
        <v>62</v>
      </c>
      <c r="J510" t="str">
        <f t="shared" si="132"/>
        <v>6109</v>
      </c>
      <c r="K510" t="str">
        <f t="shared" si="130"/>
        <v>01</v>
      </c>
      <c r="L510" s="3">
        <v>469.73</v>
      </c>
      <c r="M510" s="5">
        <v>360</v>
      </c>
      <c r="N510" s="7">
        <v>469.73</v>
      </c>
      <c r="O510" s="3">
        <v>1.65</v>
      </c>
      <c r="P510" s="7">
        <v>7.75</v>
      </c>
      <c r="Q510" s="7">
        <v>0</v>
      </c>
      <c r="R510" s="7">
        <v>0</v>
      </c>
      <c r="S510" s="7">
        <v>0</v>
      </c>
      <c r="T510" s="7">
        <v>469.73</v>
      </c>
      <c r="U510" s="3">
        <v>7.6</v>
      </c>
      <c r="V510" s="7">
        <v>35.700000000000003</v>
      </c>
      <c r="W510" s="7">
        <v>0</v>
      </c>
      <c r="X510" s="3">
        <v>0</v>
      </c>
      <c r="Y510" s="7">
        <v>0</v>
      </c>
    </row>
    <row r="511" spans="1:25" x14ac:dyDescent="0.25">
      <c r="A511" t="s">
        <v>25</v>
      </c>
      <c r="B511" t="s">
        <v>97</v>
      </c>
      <c r="C511" t="str">
        <f t="shared" si="126"/>
        <v>1</v>
      </c>
      <c r="D511" t="str">
        <f t="shared" ref="D511:D530" si="135">"5"</f>
        <v>5</v>
      </c>
      <c r="E511" t="str">
        <f>"0076179"</f>
        <v>0076179</v>
      </c>
      <c r="F511" t="s">
        <v>120</v>
      </c>
      <c r="G511" t="str">
        <f>"70"</f>
        <v>70</v>
      </c>
      <c r="H511" t="str">
        <f t="shared" si="129"/>
        <v>01</v>
      </c>
      <c r="I511" t="s">
        <v>81</v>
      </c>
      <c r="J511" t="str">
        <f t="shared" ref="J511:J524" si="136">"6118"</f>
        <v>6118</v>
      </c>
      <c r="K511" t="str">
        <f t="shared" ref="K511:K518" si="137">"07"</f>
        <v>07</v>
      </c>
      <c r="L511" s="3">
        <v>0</v>
      </c>
      <c r="M511" s="5">
        <v>43.77</v>
      </c>
      <c r="N511" s="7">
        <v>0</v>
      </c>
      <c r="O511" s="3">
        <v>0</v>
      </c>
      <c r="P511" s="7">
        <v>0</v>
      </c>
      <c r="Q511" s="7">
        <v>0</v>
      </c>
      <c r="R511" s="7">
        <v>0</v>
      </c>
      <c r="S511" s="7">
        <v>0</v>
      </c>
      <c r="T511" s="7">
        <v>0</v>
      </c>
      <c r="U511" s="3">
        <v>0</v>
      </c>
      <c r="V511" s="7">
        <v>0</v>
      </c>
      <c r="W511" s="7">
        <v>0</v>
      </c>
      <c r="X511" s="3">
        <v>0</v>
      </c>
      <c r="Y511" s="7">
        <v>0</v>
      </c>
    </row>
    <row r="512" spans="1:25" x14ac:dyDescent="0.25">
      <c r="A512" t="s">
        <v>25</v>
      </c>
      <c r="B512" t="s">
        <v>97</v>
      </c>
      <c r="C512" t="str">
        <f t="shared" ref="C512:C543" si="138">"1"</f>
        <v>1</v>
      </c>
      <c r="D512" t="str">
        <f t="shared" si="135"/>
        <v>5</v>
      </c>
      <c r="E512" t="str">
        <f>"0076179"</f>
        <v>0076179</v>
      </c>
      <c r="F512" t="s">
        <v>120</v>
      </c>
      <c r="G512" t="str">
        <f>"70"</f>
        <v>70</v>
      </c>
      <c r="H512" t="str">
        <f t="shared" si="129"/>
        <v>01</v>
      </c>
      <c r="I512" t="s">
        <v>84</v>
      </c>
      <c r="J512" t="str">
        <f t="shared" si="136"/>
        <v>6118</v>
      </c>
      <c r="K512" t="str">
        <f t="shared" si="137"/>
        <v>07</v>
      </c>
      <c r="L512" s="3">
        <v>0</v>
      </c>
      <c r="M512" s="5">
        <v>21000</v>
      </c>
      <c r="N512" s="7">
        <v>0</v>
      </c>
      <c r="O512" s="3">
        <v>0</v>
      </c>
      <c r="P512" s="7">
        <v>0</v>
      </c>
      <c r="Q512" s="7">
        <v>0</v>
      </c>
      <c r="R512" s="7">
        <v>0</v>
      </c>
      <c r="S512" s="7">
        <v>0</v>
      </c>
      <c r="T512" s="7">
        <v>0</v>
      </c>
      <c r="U512" s="3">
        <v>0</v>
      </c>
      <c r="V512" s="7">
        <v>0</v>
      </c>
      <c r="W512" s="7">
        <v>0</v>
      </c>
      <c r="X512" s="3">
        <v>0</v>
      </c>
      <c r="Y512" s="7">
        <v>0</v>
      </c>
    </row>
    <row r="513" spans="1:25" x14ac:dyDescent="0.25">
      <c r="A513" t="s">
        <v>25</v>
      </c>
      <c r="B513" t="s">
        <v>97</v>
      </c>
      <c r="C513" t="str">
        <f t="shared" si="138"/>
        <v>1</v>
      </c>
      <c r="D513" t="str">
        <f t="shared" si="135"/>
        <v>5</v>
      </c>
      <c r="E513" t="str">
        <f>"0076270"</f>
        <v>0076270</v>
      </c>
      <c r="F513" t="s">
        <v>121</v>
      </c>
      <c r="G513" t="str">
        <f>"70"</f>
        <v>70</v>
      </c>
      <c r="H513" t="str">
        <f t="shared" si="129"/>
        <v>01</v>
      </c>
      <c r="I513" t="s">
        <v>86</v>
      </c>
      <c r="J513" t="str">
        <f t="shared" si="136"/>
        <v>6118</v>
      </c>
      <c r="K513" t="str">
        <f t="shared" si="137"/>
        <v>07</v>
      </c>
      <c r="L513" s="3">
        <v>0</v>
      </c>
      <c r="M513" s="5">
        <v>8430</v>
      </c>
      <c r="N513" s="7">
        <v>0</v>
      </c>
      <c r="O513" s="3">
        <v>0</v>
      </c>
      <c r="P513" s="7">
        <v>0</v>
      </c>
      <c r="Q513" s="7">
        <v>0</v>
      </c>
      <c r="R513" s="7">
        <v>0</v>
      </c>
      <c r="S513" s="7">
        <v>0</v>
      </c>
      <c r="T513" s="7">
        <v>0</v>
      </c>
      <c r="U513" s="3">
        <v>0</v>
      </c>
      <c r="V513" s="7">
        <v>0</v>
      </c>
      <c r="W513" s="7">
        <v>0</v>
      </c>
      <c r="X513" s="3">
        <v>0</v>
      </c>
      <c r="Y513" s="7">
        <v>0</v>
      </c>
    </row>
    <row r="514" spans="1:25" x14ac:dyDescent="0.25">
      <c r="A514" t="s">
        <v>25</v>
      </c>
      <c r="B514" t="s">
        <v>97</v>
      </c>
      <c r="C514" t="str">
        <f t="shared" si="138"/>
        <v>1</v>
      </c>
      <c r="D514" t="str">
        <f t="shared" si="135"/>
        <v>5</v>
      </c>
      <c r="E514" t="str">
        <f>"0076270"</f>
        <v>0076270</v>
      </c>
      <c r="F514" t="s">
        <v>121</v>
      </c>
      <c r="G514" t="str">
        <f>"70"</f>
        <v>70</v>
      </c>
      <c r="H514" t="str">
        <f t="shared" si="129"/>
        <v>01</v>
      </c>
      <c r="I514" t="s">
        <v>84</v>
      </c>
      <c r="J514" t="str">
        <f t="shared" si="136"/>
        <v>6118</v>
      </c>
      <c r="K514" t="str">
        <f t="shared" si="137"/>
        <v>07</v>
      </c>
      <c r="L514" s="3">
        <v>0</v>
      </c>
      <c r="M514" s="5">
        <v>21000</v>
      </c>
      <c r="N514" s="7">
        <v>0</v>
      </c>
      <c r="O514" s="3">
        <v>0</v>
      </c>
      <c r="P514" s="7">
        <v>0</v>
      </c>
      <c r="Q514" s="7">
        <v>0</v>
      </c>
      <c r="R514" s="7">
        <v>0</v>
      </c>
      <c r="S514" s="7">
        <v>0</v>
      </c>
      <c r="T514" s="7">
        <v>0</v>
      </c>
      <c r="U514" s="3">
        <v>0</v>
      </c>
      <c r="V514" s="7">
        <v>0</v>
      </c>
      <c r="W514" s="7">
        <v>0</v>
      </c>
      <c r="X514" s="3">
        <v>0</v>
      </c>
      <c r="Y514" s="7">
        <v>0</v>
      </c>
    </row>
    <row r="515" spans="1:25" x14ac:dyDescent="0.25">
      <c r="A515" t="s">
        <v>25</v>
      </c>
      <c r="B515" t="s">
        <v>97</v>
      </c>
      <c r="C515" t="str">
        <f t="shared" si="138"/>
        <v>1</v>
      </c>
      <c r="D515" t="str">
        <f t="shared" si="135"/>
        <v>5</v>
      </c>
      <c r="E515" t="str">
        <f>"0076270"</f>
        <v>0076270</v>
      </c>
      <c r="F515" t="s">
        <v>121</v>
      </c>
      <c r="G515" t="str">
        <f>"70"</f>
        <v>70</v>
      </c>
      <c r="H515" t="str">
        <f t="shared" si="129"/>
        <v>01</v>
      </c>
      <c r="I515" t="s">
        <v>109</v>
      </c>
      <c r="J515" t="str">
        <f t="shared" si="136"/>
        <v>6118</v>
      </c>
      <c r="K515" t="str">
        <f t="shared" si="137"/>
        <v>07</v>
      </c>
      <c r="L515" s="3">
        <v>0</v>
      </c>
      <c r="M515" s="5">
        <v>693.34</v>
      </c>
      <c r="N515" s="7">
        <v>0</v>
      </c>
      <c r="O515" s="3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3">
        <v>0</v>
      </c>
      <c r="V515" s="7">
        <v>0</v>
      </c>
      <c r="W515" s="7">
        <v>0</v>
      </c>
      <c r="X515" s="3">
        <v>0</v>
      </c>
      <c r="Y515" s="7">
        <v>0</v>
      </c>
    </row>
    <row r="516" spans="1:25" x14ac:dyDescent="0.25">
      <c r="A516" t="s">
        <v>25</v>
      </c>
      <c r="B516" t="s">
        <v>97</v>
      </c>
      <c r="C516" t="str">
        <f t="shared" si="138"/>
        <v>1</v>
      </c>
      <c r="D516" t="str">
        <f t="shared" si="135"/>
        <v>5</v>
      </c>
      <c r="E516" t="str">
        <f>"0076335"</f>
        <v>0076335</v>
      </c>
      <c r="F516" t="s">
        <v>120</v>
      </c>
      <c r="G516" t="str">
        <f>"13"</f>
        <v>13</v>
      </c>
      <c r="H516" t="str">
        <f t="shared" si="129"/>
        <v>01</v>
      </c>
      <c r="I516" t="s">
        <v>104</v>
      </c>
      <c r="J516" t="str">
        <f t="shared" si="136"/>
        <v>6118</v>
      </c>
      <c r="K516" t="str">
        <f t="shared" si="137"/>
        <v>07</v>
      </c>
      <c r="L516" s="3">
        <v>0</v>
      </c>
      <c r="M516" s="5">
        <v>10100</v>
      </c>
      <c r="N516" s="7">
        <v>0</v>
      </c>
      <c r="O516" s="3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  <c r="U516" s="3">
        <v>0</v>
      </c>
      <c r="V516" s="7">
        <v>0</v>
      </c>
      <c r="W516" s="7">
        <v>0</v>
      </c>
      <c r="X516" s="3">
        <v>0</v>
      </c>
      <c r="Y516" s="7">
        <v>0</v>
      </c>
    </row>
    <row r="517" spans="1:25" x14ac:dyDescent="0.25">
      <c r="A517" t="s">
        <v>25</v>
      </c>
      <c r="B517" t="s">
        <v>97</v>
      </c>
      <c r="C517" t="str">
        <f t="shared" si="138"/>
        <v>1</v>
      </c>
      <c r="D517" t="str">
        <f t="shared" si="135"/>
        <v>5</v>
      </c>
      <c r="E517" t="str">
        <f>"0076501"</f>
        <v>0076501</v>
      </c>
      <c r="F517" t="s">
        <v>121</v>
      </c>
      <c r="G517" t="str">
        <f t="shared" ref="G517:G524" si="139">"70"</f>
        <v>70</v>
      </c>
      <c r="H517" t="str">
        <f t="shared" si="129"/>
        <v>01</v>
      </c>
      <c r="I517" t="s">
        <v>56</v>
      </c>
      <c r="J517" t="str">
        <f t="shared" si="136"/>
        <v>6118</v>
      </c>
      <c r="K517" t="str">
        <f t="shared" si="137"/>
        <v>07</v>
      </c>
      <c r="L517" s="3">
        <v>0</v>
      </c>
      <c r="M517" s="5">
        <v>8737197</v>
      </c>
      <c r="N517" s="7">
        <v>0</v>
      </c>
      <c r="O517" s="3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  <c r="U517" s="3">
        <v>0</v>
      </c>
      <c r="V517" s="7">
        <v>0</v>
      </c>
      <c r="W517" s="7">
        <v>0</v>
      </c>
      <c r="X517" s="3">
        <v>0</v>
      </c>
      <c r="Y517" s="7">
        <v>0</v>
      </c>
    </row>
    <row r="518" spans="1:25" x14ac:dyDescent="0.25">
      <c r="A518" t="s">
        <v>25</v>
      </c>
      <c r="B518" t="s">
        <v>97</v>
      </c>
      <c r="C518" t="str">
        <f t="shared" si="138"/>
        <v>1</v>
      </c>
      <c r="D518" t="str">
        <f t="shared" si="135"/>
        <v>5</v>
      </c>
      <c r="E518" t="str">
        <f>"0076506"</f>
        <v>0076506</v>
      </c>
      <c r="F518" t="s">
        <v>121</v>
      </c>
      <c r="G518" t="str">
        <f t="shared" si="139"/>
        <v>70</v>
      </c>
      <c r="H518" t="str">
        <f t="shared" si="129"/>
        <v>01</v>
      </c>
      <c r="I518" t="s">
        <v>56</v>
      </c>
      <c r="J518" t="str">
        <f t="shared" si="136"/>
        <v>6118</v>
      </c>
      <c r="K518" t="str">
        <f t="shared" si="137"/>
        <v>07</v>
      </c>
      <c r="L518" s="3">
        <v>0</v>
      </c>
      <c r="M518" s="5">
        <v>2912399</v>
      </c>
      <c r="N518" s="7">
        <v>0</v>
      </c>
      <c r="O518" s="3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  <c r="U518" s="3">
        <v>0</v>
      </c>
      <c r="V518" s="7">
        <v>0</v>
      </c>
      <c r="W518" s="7">
        <v>0</v>
      </c>
      <c r="X518" s="3">
        <v>0</v>
      </c>
      <c r="Y518" s="7">
        <v>0</v>
      </c>
    </row>
    <row r="519" spans="1:25" x14ac:dyDescent="0.25">
      <c r="A519" t="s">
        <v>25</v>
      </c>
      <c r="B519" t="s">
        <v>97</v>
      </c>
      <c r="C519" t="str">
        <f t="shared" si="138"/>
        <v>1</v>
      </c>
      <c r="D519" t="str">
        <f t="shared" si="135"/>
        <v>5</v>
      </c>
      <c r="E519" t="str">
        <f>"0076507"</f>
        <v>0076507</v>
      </c>
      <c r="F519" t="s">
        <v>121</v>
      </c>
      <c r="G519" t="str">
        <f t="shared" si="139"/>
        <v>70</v>
      </c>
      <c r="H519" t="str">
        <f t="shared" si="129"/>
        <v>01</v>
      </c>
      <c r="I519" t="s">
        <v>56</v>
      </c>
      <c r="J519" t="str">
        <f t="shared" si="136"/>
        <v>6118</v>
      </c>
      <c r="K519" t="str">
        <f>"08"</f>
        <v>08</v>
      </c>
      <c r="L519" s="3">
        <v>0</v>
      </c>
      <c r="M519" s="5">
        <v>8737197</v>
      </c>
      <c r="N519" s="7">
        <v>0</v>
      </c>
      <c r="O519" s="3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  <c r="U519" s="3">
        <v>0</v>
      </c>
      <c r="V519" s="7">
        <v>0</v>
      </c>
      <c r="W519" s="7">
        <v>0</v>
      </c>
      <c r="X519" s="3">
        <v>0</v>
      </c>
      <c r="Y519" s="7">
        <v>0</v>
      </c>
    </row>
    <row r="520" spans="1:25" x14ac:dyDescent="0.25">
      <c r="A520" t="s">
        <v>25</v>
      </c>
      <c r="B520" t="s">
        <v>97</v>
      </c>
      <c r="C520" t="str">
        <f t="shared" si="138"/>
        <v>1</v>
      </c>
      <c r="D520" t="str">
        <f t="shared" si="135"/>
        <v>5</v>
      </c>
      <c r="E520" t="str">
        <f>"0076508"</f>
        <v>0076508</v>
      </c>
      <c r="F520" t="s">
        <v>121</v>
      </c>
      <c r="G520" t="str">
        <f t="shared" si="139"/>
        <v>70</v>
      </c>
      <c r="H520" t="str">
        <f t="shared" si="129"/>
        <v>01</v>
      </c>
      <c r="I520" t="s">
        <v>56</v>
      </c>
      <c r="J520" t="str">
        <f t="shared" si="136"/>
        <v>6118</v>
      </c>
      <c r="K520" t="str">
        <f>"07"</f>
        <v>07</v>
      </c>
      <c r="L520" s="3">
        <v>0</v>
      </c>
      <c r="M520" s="5">
        <v>8737197</v>
      </c>
      <c r="N520" s="7">
        <v>0</v>
      </c>
      <c r="O520" s="3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  <c r="U520" s="3">
        <v>0</v>
      </c>
      <c r="V520" s="7">
        <v>0</v>
      </c>
      <c r="W520" s="7">
        <v>0</v>
      </c>
      <c r="X520" s="3">
        <v>0</v>
      </c>
      <c r="Y520" s="7">
        <v>0</v>
      </c>
    </row>
    <row r="521" spans="1:25" x14ac:dyDescent="0.25">
      <c r="A521" t="s">
        <v>25</v>
      </c>
      <c r="B521" t="s">
        <v>97</v>
      </c>
      <c r="C521" t="str">
        <f t="shared" si="138"/>
        <v>1</v>
      </c>
      <c r="D521" t="str">
        <f t="shared" si="135"/>
        <v>5</v>
      </c>
      <c r="E521" t="str">
        <f>"0076514"</f>
        <v>0076514</v>
      </c>
      <c r="F521" t="s">
        <v>121</v>
      </c>
      <c r="G521" t="str">
        <f t="shared" si="139"/>
        <v>70</v>
      </c>
      <c r="H521" t="str">
        <f t="shared" si="129"/>
        <v>01</v>
      </c>
      <c r="I521" t="s">
        <v>56</v>
      </c>
      <c r="J521" t="str">
        <f t="shared" si="136"/>
        <v>6118</v>
      </c>
      <c r="K521" t="str">
        <f>"07"</f>
        <v>07</v>
      </c>
      <c r="L521" s="3">
        <v>0</v>
      </c>
      <c r="M521" s="5">
        <v>5824798</v>
      </c>
      <c r="N521" s="7">
        <v>0</v>
      </c>
      <c r="O521" s="3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  <c r="U521" s="3">
        <v>0</v>
      </c>
      <c r="V521" s="7">
        <v>0</v>
      </c>
      <c r="W521" s="7">
        <v>0</v>
      </c>
      <c r="X521" s="3">
        <v>0</v>
      </c>
      <c r="Y521" s="7">
        <v>0</v>
      </c>
    </row>
    <row r="522" spans="1:25" x14ac:dyDescent="0.25">
      <c r="A522" t="s">
        <v>25</v>
      </c>
      <c r="B522" t="s">
        <v>97</v>
      </c>
      <c r="C522" t="str">
        <f t="shared" si="138"/>
        <v>1</v>
      </c>
      <c r="D522" t="str">
        <f t="shared" si="135"/>
        <v>5</v>
      </c>
      <c r="E522" t="str">
        <f>"0076514"</f>
        <v>0076514</v>
      </c>
      <c r="F522" t="s">
        <v>121</v>
      </c>
      <c r="G522" t="str">
        <f t="shared" si="139"/>
        <v>70</v>
      </c>
      <c r="H522" t="str">
        <f t="shared" si="129"/>
        <v>01</v>
      </c>
      <c r="I522" t="s">
        <v>56</v>
      </c>
      <c r="J522" t="str">
        <f t="shared" si="136"/>
        <v>6118</v>
      </c>
      <c r="K522" t="str">
        <f>"07"</f>
        <v>07</v>
      </c>
      <c r="L522" s="3">
        <v>0</v>
      </c>
      <c r="M522" s="5">
        <v>8737197</v>
      </c>
      <c r="N522" s="7">
        <v>0</v>
      </c>
      <c r="O522" s="3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  <c r="U522" s="3">
        <v>0</v>
      </c>
      <c r="V522" s="7">
        <v>0</v>
      </c>
      <c r="W522" s="7">
        <v>0</v>
      </c>
      <c r="X522" s="3">
        <v>0</v>
      </c>
      <c r="Y522" s="7">
        <v>0</v>
      </c>
    </row>
    <row r="523" spans="1:25" x14ac:dyDescent="0.25">
      <c r="A523" t="s">
        <v>25</v>
      </c>
      <c r="B523" t="s">
        <v>97</v>
      </c>
      <c r="C523" t="str">
        <f t="shared" si="138"/>
        <v>1</v>
      </c>
      <c r="D523" t="str">
        <f t="shared" si="135"/>
        <v>5</v>
      </c>
      <c r="E523" t="str">
        <f>"0076519"</f>
        <v>0076519</v>
      </c>
      <c r="F523" t="s">
        <v>121</v>
      </c>
      <c r="G523" t="str">
        <f t="shared" si="139"/>
        <v>70</v>
      </c>
      <c r="H523" t="str">
        <f t="shared" si="129"/>
        <v>01</v>
      </c>
      <c r="I523" t="s">
        <v>56</v>
      </c>
      <c r="J523" t="str">
        <f t="shared" si="136"/>
        <v>6118</v>
      </c>
      <c r="K523" t="str">
        <f>"07"</f>
        <v>07</v>
      </c>
      <c r="L523" s="3">
        <v>0</v>
      </c>
      <c r="M523" s="5">
        <v>8737197</v>
      </c>
      <c r="N523" s="7">
        <v>0</v>
      </c>
      <c r="O523" s="3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  <c r="U523" s="3">
        <v>0</v>
      </c>
      <c r="V523" s="7">
        <v>0</v>
      </c>
      <c r="W523" s="7">
        <v>0</v>
      </c>
      <c r="X523" s="3">
        <v>0</v>
      </c>
      <c r="Y523" s="7">
        <v>0</v>
      </c>
    </row>
    <row r="524" spans="1:25" x14ac:dyDescent="0.25">
      <c r="A524" t="s">
        <v>25</v>
      </c>
      <c r="B524" t="s">
        <v>97</v>
      </c>
      <c r="C524" t="str">
        <f t="shared" si="138"/>
        <v>1</v>
      </c>
      <c r="D524" t="str">
        <f t="shared" si="135"/>
        <v>5</v>
      </c>
      <c r="E524" t="str">
        <f>"0076519"</f>
        <v>0076519</v>
      </c>
      <c r="F524" t="s">
        <v>121</v>
      </c>
      <c r="G524" t="str">
        <f t="shared" si="139"/>
        <v>70</v>
      </c>
      <c r="H524" t="str">
        <f t="shared" si="129"/>
        <v>01</v>
      </c>
      <c r="I524" t="s">
        <v>56</v>
      </c>
      <c r="J524" t="str">
        <f t="shared" si="136"/>
        <v>6118</v>
      </c>
      <c r="K524" t="str">
        <f>"07"</f>
        <v>07</v>
      </c>
      <c r="L524" s="3">
        <v>0</v>
      </c>
      <c r="M524" s="5">
        <v>5824798</v>
      </c>
      <c r="N524" s="7">
        <v>0</v>
      </c>
      <c r="O524" s="3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  <c r="U524" s="3">
        <v>0</v>
      </c>
      <c r="V524" s="7">
        <v>0</v>
      </c>
      <c r="W524" s="7">
        <v>0</v>
      </c>
      <c r="X524" s="3">
        <v>0</v>
      </c>
      <c r="Y524" s="7">
        <v>0</v>
      </c>
    </row>
    <row r="525" spans="1:25" x14ac:dyDescent="0.25">
      <c r="A525" t="s">
        <v>25</v>
      </c>
      <c r="B525" t="s">
        <v>97</v>
      </c>
      <c r="C525" t="str">
        <f t="shared" si="138"/>
        <v>1</v>
      </c>
      <c r="D525" t="str">
        <f t="shared" si="135"/>
        <v>5</v>
      </c>
      <c r="E525" t="str">
        <f>"3032014"</f>
        <v>3032014</v>
      </c>
      <c r="F525" t="str">
        <f>"625101"</f>
        <v>625101</v>
      </c>
      <c r="G525" t="str">
        <f t="shared" ref="G525:G530" si="140">"13"</f>
        <v>13</v>
      </c>
      <c r="H525" t="str">
        <f>"06"</f>
        <v>06</v>
      </c>
      <c r="I525" t="s">
        <v>34</v>
      </c>
      <c r="J525" t="str">
        <f>"6251"</f>
        <v>6251</v>
      </c>
      <c r="K525" t="str">
        <f t="shared" ref="K525:K530" si="141">"99"</f>
        <v>99</v>
      </c>
      <c r="L525" s="3">
        <v>2500</v>
      </c>
      <c r="M525" s="5">
        <v>2500</v>
      </c>
      <c r="N525" s="7">
        <v>0</v>
      </c>
      <c r="O525" s="3">
        <v>1.65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  <c r="U525" s="3">
        <v>7.6</v>
      </c>
      <c r="V525" s="7">
        <v>0</v>
      </c>
      <c r="W525" s="7">
        <v>0</v>
      </c>
      <c r="X525" s="3">
        <v>0</v>
      </c>
      <c r="Y525" s="7">
        <v>0</v>
      </c>
    </row>
    <row r="526" spans="1:25" x14ac:dyDescent="0.25">
      <c r="A526" t="s">
        <v>25</v>
      </c>
      <c r="B526" t="s">
        <v>97</v>
      </c>
      <c r="C526" t="str">
        <f t="shared" si="138"/>
        <v>1</v>
      </c>
      <c r="D526" t="str">
        <f t="shared" si="135"/>
        <v>5</v>
      </c>
      <c r="E526" t="str">
        <f>"0071104"</f>
        <v>0071104</v>
      </c>
      <c r="F526" t="s">
        <v>122</v>
      </c>
      <c r="G526" t="str">
        <f t="shared" si="140"/>
        <v>13</v>
      </c>
      <c r="H526" t="str">
        <f>"55"</f>
        <v>55</v>
      </c>
      <c r="I526" t="s">
        <v>56</v>
      </c>
      <c r="J526" t="str">
        <f t="shared" ref="J526:J532" si="142">"6401"</f>
        <v>6401</v>
      </c>
      <c r="K526" t="str">
        <f t="shared" si="141"/>
        <v>99</v>
      </c>
      <c r="L526" s="3">
        <v>2268</v>
      </c>
      <c r="M526" s="5">
        <v>2000</v>
      </c>
      <c r="N526" s="7">
        <v>0</v>
      </c>
      <c r="O526" s="3">
        <v>1.65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  <c r="U526" s="3">
        <v>7.6</v>
      </c>
      <c r="V526" s="7">
        <v>0</v>
      </c>
      <c r="W526" s="7">
        <v>0</v>
      </c>
      <c r="X526" s="3">
        <v>0</v>
      </c>
      <c r="Y526" s="7">
        <v>0</v>
      </c>
    </row>
    <row r="527" spans="1:25" x14ac:dyDescent="0.25">
      <c r="A527" t="s">
        <v>25</v>
      </c>
      <c r="B527" t="s">
        <v>97</v>
      </c>
      <c r="C527" t="str">
        <f t="shared" si="138"/>
        <v>1</v>
      </c>
      <c r="D527" t="str">
        <f t="shared" si="135"/>
        <v>5</v>
      </c>
      <c r="E527" t="str">
        <f>"0071104"</f>
        <v>0071104</v>
      </c>
      <c r="F527" t="s">
        <v>122</v>
      </c>
      <c r="G527" t="str">
        <f t="shared" si="140"/>
        <v>13</v>
      </c>
      <c r="H527" t="str">
        <f>"55"</f>
        <v>55</v>
      </c>
      <c r="I527" t="s">
        <v>77</v>
      </c>
      <c r="J527" t="str">
        <f t="shared" si="142"/>
        <v>6401</v>
      </c>
      <c r="K527" t="str">
        <f t="shared" si="141"/>
        <v>99</v>
      </c>
      <c r="L527" s="3">
        <v>630</v>
      </c>
      <c r="M527" s="5">
        <v>600</v>
      </c>
      <c r="N527" s="7">
        <v>0</v>
      </c>
      <c r="O527" s="3">
        <v>1.65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  <c r="U527" s="3">
        <v>7.6</v>
      </c>
      <c r="V527" s="7">
        <v>0</v>
      </c>
      <c r="W527" s="7">
        <v>0</v>
      </c>
      <c r="X527" s="3">
        <v>0</v>
      </c>
      <c r="Y527" s="7">
        <v>0</v>
      </c>
    </row>
    <row r="528" spans="1:25" x14ac:dyDescent="0.25">
      <c r="A528" t="s">
        <v>25</v>
      </c>
      <c r="B528" t="s">
        <v>97</v>
      </c>
      <c r="C528" t="str">
        <f t="shared" si="138"/>
        <v>1</v>
      </c>
      <c r="D528" t="str">
        <f t="shared" si="135"/>
        <v>5</v>
      </c>
      <c r="E528" t="str">
        <f>"0071104"</f>
        <v>0071104</v>
      </c>
      <c r="F528" t="s">
        <v>122</v>
      </c>
      <c r="G528" t="str">
        <f t="shared" si="140"/>
        <v>13</v>
      </c>
      <c r="H528" t="str">
        <f>"55"</f>
        <v>55</v>
      </c>
      <c r="I528" t="s">
        <v>34</v>
      </c>
      <c r="J528" t="str">
        <f t="shared" si="142"/>
        <v>6401</v>
      </c>
      <c r="K528" t="str">
        <f t="shared" si="141"/>
        <v>99</v>
      </c>
      <c r="L528" s="3">
        <v>745.2</v>
      </c>
      <c r="M528" s="5">
        <v>690</v>
      </c>
      <c r="N528" s="7">
        <v>0</v>
      </c>
      <c r="O528" s="3">
        <v>1.65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  <c r="U528" s="3">
        <v>7.6</v>
      </c>
      <c r="V528" s="7">
        <v>0</v>
      </c>
      <c r="W528" s="7">
        <v>0</v>
      </c>
      <c r="X528" s="3">
        <v>0</v>
      </c>
      <c r="Y528" s="7">
        <v>0</v>
      </c>
    </row>
    <row r="529" spans="1:25" x14ac:dyDescent="0.25">
      <c r="A529" t="s">
        <v>25</v>
      </c>
      <c r="B529" t="s">
        <v>97</v>
      </c>
      <c r="C529" t="str">
        <f t="shared" si="138"/>
        <v>1</v>
      </c>
      <c r="D529" t="str">
        <f t="shared" si="135"/>
        <v>5</v>
      </c>
      <c r="E529" t="str">
        <f>"0071105"</f>
        <v>0071105</v>
      </c>
      <c r="F529" t="s">
        <v>122</v>
      </c>
      <c r="G529" t="str">
        <f t="shared" si="140"/>
        <v>13</v>
      </c>
      <c r="H529" t="str">
        <f>"55"</f>
        <v>55</v>
      </c>
      <c r="I529" t="s">
        <v>56</v>
      </c>
      <c r="J529" t="str">
        <f t="shared" si="142"/>
        <v>6401</v>
      </c>
      <c r="K529" t="str">
        <f t="shared" si="141"/>
        <v>99</v>
      </c>
      <c r="L529" s="3">
        <v>30.73</v>
      </c>
      <c r="M529" s="5">
        <v>28.45</v>
      </c>
      <c r="N529" s="7">
        <v>0</v>
      </c>
      <c r="O529" s="3">
        <v>1.65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  <c r="U529" s="3">
        <v>7.6</v>
      </c>
      <c r="V529" s="7">
        <v>0</v>
      </c>
      <c r="W529" s="7">
        <v>0</v>
      </c>
      <c r="X529" s="3">
        <v>0</v>
      </c>
      <c r="Y529" s="7">
        <v>0</v>
      </c>
    </row>
    <row r="530" spans="1:25" x14ac:dyDescent="0.25">
      <c r="A530" t="s">
        <v>25</v>
      </c>
      <c r="B530" t="s">
        <v>97</v>
      </c>
      <c r="C530" t="str">
        <f t="shared" si="138"/>
        <v>1</v>
      </c>
      <c r="D530" t="str">
        <f t="shared" si="135"/>
        <v>5</v>
      </c>
      <c r="E530" t="str">
        <f>"0071105"</f>
        <v>0071105</v>
      </c>
      <c r="F530" t="s">
        <v>122</v>
      </c>
      <c r="G530" t="str">
        <f t="shared" si="140"/>
        <v>13</v>
      </c>
      <c r="H530" t="str">
        <f>"55"</f>
        <v>55</v>
      </c>
      <c r="I530" t="s">
        <v>42</v>
      </c>
      <c r="J530" t="str">
        <f t="shared" si="142"/>
        <v>6401</v>
      </c>
      <c r="K530" t="str">
        <f t="shared" si="141"/>
        <v>99</v>
      </c>
      <c r="L530" s="3">
        <v>630</v>
      </c>
      <c r="M530" s="5">
        <v>600</v>
      </c>
      <c r="N530" s="7">
        <v>0</v>
      </c>
      <c r="O530" s="3">
        <v>1.65</v>
      </c>
      <c r="P530" s="7">
        <v>0</v>
      </c>
      <c r="Q530" s="7">
        <v>0</v>
      </c>
      <c r="R530" s="7">
        <v>0</v>
      </c>
      <c r="S530" s="7">
        <v>0</v>
      </c>
      <c r="T530" s="7">
        <v>0</v>
      </c>
      <c r="U530" s="3">
        <v>7.6</v>
      </c>
      <c r="V530" s="7">
        <v>0</v>
      </c>
      <c r="W530" s="7">
        <v>0</v>
      </c>
      <c r="X530" s="3">
        <v>0</v>
      </c>
      <c r="Y530" s="7">
        <v>0</v>
      </c>
    </row>
    <row r="531" spans="1:25" x14ac:dyDescent="0.25">
      <c r="A531" t="s">
        <v>25</v>
      </c>
      <c r="B531" t="s">
        <v>97</v>
      </c>
      <c r="C531" t="str">
        <f t="shared" si="138"/>
        <v>1</v>
      </c>
      <c r="D531" t="str">
        <f t="shared" ref="D531:D537" si="143">"11"</f>
        <v>11</v>
      </c>
      <c r="E531" t="str">
        <f>"0290848"</f>
        <v>0290848</v>
      </c>
      <c r="F531" t="s">
        <v>123</v>
      </c>
      <c r="G531" t="str">
        <f>"1"</f>
        <v>1</v>
      </c>
      <c r="H531" t="str">
        <f t="shared" ref="H531:H542" si="144">"01"</f>
        <v>01</v>
      </c>
      <c r="I531" t="s">
        <v>75</v>
      </c>
      <c r="J531" t="str">
        <f t="shared" si="142"/>
        <v>6401</v>
      </c>
      <c r="K531" t="str">
        <f>"02"</f>
        <v>02</v>
      </c>
      <c r="L531" s="3">
        <v>139.09</v>
      </c>
      <c r="M531" s="5">
        <v>110</v>
      </c>
      <c r="N531" s="7">
        <v>120.72</v>
      </c>
      <c r="O531" s="3">
        <v>1.65</v>
      </c>
      <c r="P531" s="7">
        <v>1.99</v>
      </c>
      <c r="Q531" s="7">
        <v>0</v>
      </c>
      <c r="R531" s="7">
        <v>0</v>
      </c>
      <c r="S531" s="7">
        <v>0</v>
      </c>
      <c r="T531" s="7">
        <v>120.72</v>
      </c>
      <c r="U531" s="3">
        <v>7.6</v>
      </c>
      <c r="V531" s="7">
        <v>9.17</v>
      </c>
      <c r="W531" s="7">
        <v>0</v>
      </c>
      <c r="X531" s="3">
        <v>0</v>
      </c>
      <c r="Y531" s="7">
        <v>0</v>
      </c>
    </row>
    <row r="532" spans="1:25" x14ac:dyDescent="0.25">
      <c r="A532" t="s">
        <v>25</v>
      </c>
      <c r="B532" t="s">
        <v>97</v>
      </c>
      <c r="C532" t="str">
        <f t="shared" si="138"/>
        <v>1</v>
      </c>
      <c r="D532" t="str">
        <f t="shared" si="143"/>
        <v>11</v>
      </c>
      <c r="E532" t="str">
        <f>"0290848"</f>
        <v>0290848</v>
      </c>
      <c r="F532" t="s">
        <v>123</v>
      </c>
      <c r="G532" t="str">
        <f>"1"</f>
        <v>1</v>
      </c>
      <c r="H532" t="str">
        <f t="shared" si="144"/>
        <v>01</v>
      </c>
      <c r="I532" t="s">
        <v>62</v>
      </c>
      <c r="J532" t="str">
        <f t="shared" si="142"/>
        <v>6401</v>
      </c>
      <c r="K532" t="str">
        <f>"01"</f>
        <v>01</v>
      </c>
      <c r="L532" s="3">
        <v>1159.07</v>
      </c>
      <c r="M532" s="5">
        <v>916.7</v>
      </c>
      <c r="N532" s="7">
        <v>1005.98</v>
      </c>
      <c r="O532" s="3">
        <v>1.65</v>
      </c>
      <c r="P532" s="7">
        <v>16.600000000000001</v>
      </c>
      <c r="Q532" s="7">
        <v>0</v>
      </c>
      <c r="R532" s="7">
        <v>0</v>
      </c>
      <c r="S532" s="7">
        <v>0</v>
      </c>
      <c r="T532" s="7">
        <v>1005.98</v>
      </c>
      <c r="U532" s="3">
        <v>7.6</v>
      </c>
      <c r="V532" s="7">
        <v>76.45</v>
      </c>
      <c r="W532" s="7">
        <v>0</v>
      </c>
      <c r="X532" s="3">
        <v>0</v>
      </c>
      <c r="Y532" s="7">
        <v>0</v>
      </c>
    </row>
    <row r="533" spans="1:25" x14ac:dyDescent="0.25">
      <c r="A533" t="s">
        <v>25</v>
      </c>
      <c r="B533" t="s">
        <v>97</v>
      </c>
      <c r="C533" t="str">
        <f t="shared" si="138"/>
        <v>1</v>
      </c>
      <c r="D533" t="str">
        <f t="shared" si="143"/>
        <v>11</v>
      </c>
      <c r="E533" t="str">
        <f>"0290847"</f>
        <v>0290847</v>
      </c>
      <c r="F533" t="s">
        <v>124</v>
      </c>
      <c r="G533" t="str">
        <f>"4"</f>
        <v>4</v>
      </c>
      <c r="H533" t="str">
        <f t="shared" si="144"/>
        <v>01</v>
      </c>
      <c r="I533" t="s">
        <v>34</v>
      </c>
      <c r="J533" t="str">
        <f>"6403"</f>
        <v>6403</v>
      </c>
      <c r="K533" t="str">
        <f>"01"</f>
        <v>01</v>
      </c>
      <c r="L533" s="3">
        <v>2950</v>
      </c>
      <c r="M533" s="5">
        <v>600</v>
      </c>
      <c r="N533" s="7">
        <v>2950</v>
      </c>
      <c r="O533" s="3">
        <v>1.65</v>
      </c>
      <c r="P533" s="7">
        <v>48.68</v>
      </c>
      <c r="Q533" s="7">
        <v>0</v>
      </c>
      <c r="R533" s="7">
        <v>0</v>
      </c>
      <c r="S533" s="7">
        <v>0</v>
      </c>
      <c r="T533" s="7">
        <v>2950</v>
      </c>
      <c r="U533" s="3">
        <v>7.6</v>
      </c>
      <c r="V533" s="7">
        <v>224.2</v>
      </c>
      <c r="W533" s="7">
        <v>0</v>
      </c>
      <c r="X533" s="3">
        <v>0</v>
      </c>
      <c r="Y533" s="7">
        <v>0</v>
      </c>
    </row>
    <row r="534" spans="1:25" x14ac:dyDescent="0.25">
      <c r="A534" t="s">
        <v>25</v>
      </c>
      <c r="B534" t="s">
        <v>97</v>
      </c>
      <c r="C534" t="str">
        <f t="shared" si="138"/>
        <v>1</v>
      </c>
      <c r="D534" t="str">
        <f t="shared" si="143"/>
        <v>11</v>
      </c>
      <c r="E534" t="str">
        <f>"0290847"</f>
        <v>0290847</v>
      </c>
      <c r="F534" t="s">
        <v>124</v>
      </c>
      <c r="G534" t="str">
        <f>"4"</f>
        <v>4</v>
      </c>
      <c r="H534" t="str">
        <f t="shared" si="144"/>
        <v>01</v>
      </c>
      <c r="I534" t="s">
        <v>77</v>
      </c>
      <c r="J534" t="str">
        <f>"6403"</f>
        <v>6403</v>
      </c>
      <c r="K534" t="str">
        <f>"01"</f>
        <v>01</v>
      </c>
      <c r="L534" s="3">
        <v>2950</v>
      </c>
      <c r="M534" s="5">
        <v>600</v>
      </c>
      <c r="N534" s="7">
        <v>2950</v>
      </c>
      <c r="O534" s="3">
        <v>1.65</v>
      </c>
      <c r="P534" s="7">
        <v>48.68</v>
      </c>
      <c r="Q534" s="7">
        <v>0</v>
      </c>
      <c r="R534" s="7">
        <v>0</v>
      </c>
      <c r="S534" s="7">
        <v>0</v>
      </c>
      <c r="T534" s="7">
        <v>2950</v>
      </c>
      <c r="U534" s="3">
        <v>7.6</v>
      </c>
      <c r="V534" s="7">
        <v>224.2</v>
      </c>
      <c r="W534" s="7">
        <v>0</v>
      </c>
      <c r="X534" s="3">
        <v>0</v>
      </c>
      <c r="Y534" s="7">
        <v>0</v>
      </c>
    </row>
    <row r="535" spans="1:25" x14ac:dyDescent="0.25">
      <c r="A535" t="s">
        <v>25</v>
      </c>
      <c r="B535" t="s">
        <v>97</v>
      </c>
      <c r="C535" t="str">
        <f t="shared" si="138"/>
        <v>1</v>
      </c>
      <c r="D535" t="str">
        <f t="shared" si="143"/>
        <v>11</v>
      </c>
      <c r="E535" t="str">
        <f>"0290850"</f>
        <v>0290850</v>
      </c>
      <c r="F535" t="s">
        <v>125</v>
      </c>
      <c r="G535" t="str">
        <f>"13"</f>
        <v>13</v>
      </c>
      <c r="H535" t="str">
        <f t="shared" si="144"/>
        <v>01</v>
      </c>
      <c r="I535" t="s">
        <v>67</v>
      </c>
      <c r="J535" t="str">
        <f>"6403"</f>
        <v>6403</v>
      </c>
      <c r="K535" t="str">
        <f>"01"</f>
        <v>01</v>
      </c>
      <c r="L535" s="3">
        <v>4661.1400000000003</v>
      </c>
      <c r="M535" s="5">
        <v>2060</v>
      </c>
      <c r="N535" s="7">
        <v>3684.69</v>
      </c>
      <c r="O535" s="3">
        <v>1.65</v>
      </c>
      <c r="P535" s="7">
        <v>60.8</v>
      </c>
      <c r="Q535" s="7">
        <v>0</v>
      </c>
      <c r="R535" s="7">
        <v>0</v>
      </c>
      <c r="S535" s="7">
        <v>0</v>
      </c>
      <c r="T535" s="7">
        <v>3684.69</v>
      </c>
      <c r="U535" s="3">
        <v>7.6</v>
      </c>
      <c r="V535" s="7">
        <v>280.04000000000002</v>
      </c>
      <c r="W535" s="7">
        <v>0</v>
      </c>
      <c r="X535" s="3">
        <v>0</v>
      </c>
      <c r="Y535" s="7">
        <v>0</v>
      </c>
    </row>
    <row r="536" spans="1:25" x14ac:dyDescent="0.25">
      <c r="A536" t="s">
        <v>25</v>
      </c>
      <c r="B536" t="s">
        <v>97</v>
      </c>
      <c r="C536" t="str">
        <f t="shared" si="138"/>
        <v>1</v>
      </c>
      <c r="D536" t="str">
        <f t="shared" si="143"/>
        <v>11</v>
      </c>
      <c r="E536" t="str">
        <f>"0290850"</f>
        <v>0290850</v>
      </c>
      <c r="F536" t="s">
        <v>125</v>
      </c>
      <c r="G536" t="str">
        <f>"13"</f>
        <v>13</v>
      </c>
      <c r="H536" t="str">
        <f t="shared" si="144"/>
        <v>01</v>
      </c>
      <c r="I536" t="s">
        <v>75</v>
      </c>
      <c r="J536" t="str">
        <f>"6403"</f>
        <v>6403</v>
      </c>
      <c r="K536" t="str">
        <f>"02"</f>
        <v>02</v>
      </c>
      <c r="L536" s="3">
        <v>678.79</v>
      </c>
      <c r="M536" s="5">
        <v>300</v>
      </c>
      <c r="N536" s="7">
        <v>536.59</v>
      </c>
      <c r="O536" s="3">
        <v>1.65</v>
      </c>
      <c r="P536" s="7">
        <v>8.85</v>
      </c>
      <c r="Q536" s="7">
        <v>0</v>
      </c>
      <c r="R536" s="7">
        <v>0</v>
      </c>
      <c r="S536" s="7">
        <v>0</v>
      </c>
      <c r="T536" s="7">
        <v>536.59</v>
      </c>
      <c r="U536" s="3">
        <v>7.6</v>
      </c>
      <c r="V536" s="7">
        <v>40.78</v>
      </c>
      <c r="W536" s="7">
        <v>0</v>
      </c>
      <c r="X536" s="3">
        <v>0</v>
      </c>
      <c r="Y536" s="7">
        <v>0</v>
      </c>
    </row>
    <row r="537" spans="1:25" x14ac:dyDescent="0.25">
      <c r="A537" t="s">
        <v>25</v>
      </c>
      <c r="B537" t="s">
        <v>97</v>
      </c>
      <c r="C537" t="str">
        <f t="shared" si="138"/>
        <v>1</v>
      </c>
      <c r="D537" t="str">
        <f t="shared" si="143"/>
        <v>11</v>
      </c>
      <c r="E537" t="str">
        <f>"0290851"</f>
        <v>0290851</v>
      </c>
      <c r="F537" t="s">
        <v>125</v>
      </c>
      <c r="G537" t="str">
        <f>"70"</f>
        <v>70</v>
      </c>
      <c r="H537" t="str">
        <f t="shared" si="144"/>
        <v>01</v>
      </c>
      <c r="I537" t="s">
        <v>34</v>
      </c>
      <c r="J537" t="str">
        <f>"6403"</f>
        <v>6403</v>
      </c>
      <c r="K537" t="str">
        <f>"01"</f>
        <v>01</v>
      </c>
      <c r="L537" s="3">
        <v>534.69000000000005</v>
      </c>
      <c r="M537" s="5">
        <v>148</v>
      </c>
      <c r="N537" s="7">
        <v>422.67</v>
      </c>
      <c r="O537" s="3">
        <v>1.65</v>
      </c>
      <c r="P537" s="7">
        <v>6.97</v>
      </c>
      <c r="Q537" s="7">
        <v>0</v>
      </c>
      <c r="R537" s="7">
        <v>0</v>
      </c>
      <c r="S537" s="7">
        <v>0</v>
      </c>
      <c r="T537" s="7">
        <v>422.67</v>
      </c>
      <c r="U537" s="3">
        <v>7.6</v>
      </c>
      <c r="V537" s="7">
        <v>32.119999999999997</v>
      </c>
      <c r="W537" s="7">
        <v>0</v>
      </c>
      <c r="X537" s="3">
        <v>0</v>
      </c>
      <c r="Y537" s="7">
        <v>0</v>
      </c>
    </row>
    <row r="538" spans="1:25" x14ac:dyDescent="0.25">
      <c r="A538" t="s">
        <v>126</v>
      </c>
      <c r="B538" t="s">
        <v>26</v>
      </c>
      <c r="C538" t="str">
        <f t="shared" si="138"/>
        <v>1</v>
      </c>
      <c r="D538" t="s">
        <v>33</v>
      </c>
      <c r="E538" t="str">
        <f>"0190811"</f>
        <v>0190811</v>
      </c>
      <c r="F538" t="s">
        <v>127</v>
      </c>
      <c r="G538" t="str">
        <f>"12704"</f>
        <v>12704</v>
      </c>
      <c r="H538" t="str">
        <f t="shared" si="144"/>
        <v>01</v>
      </c>
      <c r="I538" t="s">
        <v>34</v>
      </c>
      <c r="J538" t="str">
        <f>"1101"</f>
        <v>1101</v>
      </c>
      <c r="K538" t="str">
        <f>"07"</f>
        <v>07</v>
      </c>
      <c r="L538" s="3">
        <v>165.98</v>
      </c>
      <c r="M538" s="5">
        <v>165.98</v>
      </c>
      <c r="N538" s="7">
        <v>165.98</v>
      </c>
      <c r="O538" s="3">
        <v>0</v>
      </c>
      <c r="P538" s="7">
        <v>0</v>
      </c>
      <c r="Q538" s="7">
        <v>0</v>
      </c>
      <c r="R538" s="7">
        <v>0</v>
      </c>
      <c r="S538" s="7">
        <v>0</v>
      </c>
      <c r="T538" s="7">
        <v>165.98</v>
      </c>
      <c r="U538" s="3">
        <v>0</v>
      </c>
      <c r="V538" s="7">
        <v>0</v>
      </c>
      <c r="W538" s="7">
        <v>0</v>
      </c>
      <c r="X538" s="3">
        <v>0</v>
      </c>
      <c r="Y538" s="7">
        <v>0</v>
      </c>
    </row>
    <row r="539" spans="1:25" x14ac:dyDescent="0.25">
      <c r="A539" t="s">
        <v>126</v>
      </c>
      <c r="B539" t="s">
        <v>26</v>
      </c>
      <c r="C539" t="str">
        <f t="shared" si="138"/>
        <v>1</v>
      </c>
      <c r="D539" t="s">
        <v>33</v>
      </c>
      <c r="E539" t="str">
        <f>"0190811"</f>
        <v>0190811</v>
      </c>
      <c r="F539" t="s">
        <v>127</v>
      </c>
      <c r="G539" t="str">
        <f>"12704"</f>
        <v>12704</v>
      </c>
      <c r="H539" t="str">
        <f t="shared" si="144"/>
        <v>01</v>
      </c>
      <c r="I539" t="s">
        <v>34</v>
      </c>
      <c r="J539" t="str">
        <f>"1101"</f>
        <v>1101</v>
      </c>
      <c r="K539" t="str">
        <f>"07"</f>
        <v>07</v>
      </c>
      <c r="L539" s="3">
        <v>414.93</v>
      </c>
      <c r="M539" s="5">
        <v>414.93</v>
      </c>
      <c r="N539" s="7">
        <v>414.93</v>
      </c>
      <c r="O539" s="3">
        <v>0</v>
      </c>
      <c r="P539" s="7">
        <v>0</v>
      </c>
      <c r="Q539" s="7">
        <v>0</v>
      </c>
      <c r="R539" s="7">
        <v>0</v>
      </c>
      <c r="S539" s="7">
        <v>0</v>
      </c>
      <c r="T539" s="7">
        <v>414.93</v>
      </c>
      <c r="U539" s="3">
        <v>0</v>
      </c>
      <c r="V539" s="7">
        <v>0</v>
      </c>
      <c r="W539" s="7">
        <v>0</v>
      </c>
      <c r="X539" s="3">
        <v>0</v>
      </c>
      <c r="Y539" s="7">
        <v>0</v>
      </c>
    </row>
    <row r="540" spans="1:25" x14ac:dyDescent="0.25">
      <c r="A540" t="s">
        <v>126</v>
      </c>
      <c r="B540" t="s">
        <v>26</v>
      </c>
      <c r="C540" t="str">
        <f t="shared" si="138"/>
        <v>1</v>
      </c>
      <c r="D540" t="s">
        <v>33</v>
      </c>
      <c r="E540" t="str">
        <f>"0190811"</f>
        <v>0190811</v>
      </c>
      <c r="F540" t="s">
        <v>127</v>
      </c>
      <c r="G540" t="str">
        <f>"12704"</f>
        <v>12704</v>
      </c>
      <c r="H540" t="str">
        <f t="shared" si="144"/>
        <v>01</v>
      </c>
      <c r="I540" t="s">
        <v>34</v>
      </c>
      <c r="J540" t="str">
        <f>"1101"</f>
        <v>1101</v>
      </c>
      <c r="K540" t="str">
        <f>"07"</f>
        <v>07</v>
      </c>
      <c r="L540" s="3">
        <v>414.94</v>
      </c>
      <c r="M540" s="5">
        <v>414.94</v>
      </c>
      <c r="N540" s="7">
        <v>414.94</v>
      </c>
      <c r="O540" s="3">
        <v>0</v>
      </c>
      <c r="P540" s="7">
        <v>0</v>
      </c>
      <c r="Q540" s="7">
        <v>0</v>
      </c>
      <c r="R540" s="7">
        <v>0</v>
      </c>
      <c r="S540" s="7">
        <v>0</v>
      </c>
      <c r="T540" s="7">
        <v>414.94</v>
      </c>
      <c r="U540" s="3">
        <v>0</v>
      </c>
      <c r="V540" s="7">
        <v>0</v>
      </c>
      <c r="W540" s="7">
        <v>0</v>
      </c>
      <c r="X540" s="3">
        <v>0</v>
      </c>
      <c r="Y540" s="7">
        <v>0</v>
      </c>
    </row>
    <row r="541" spans="1:25" x14ac:dyDescent="0.25">
      <c r="A541" t="s">
        <v>126</v>
      </c>
      <c r="B541" t="s">
        <v>26</v>
      </c>
      <c r="C541" t="str">
        <f t="shared" si="138"/>
        <v>1</v>
      </c>
      <c r="D541" t="s">
        <v>33</v>
      </c>
      <c r="E541" t="str">
        <f>"0190811"</f>
        <v>0190811</v>
      </c>
      <c r="F541" t="s">
        <v>127</v>
      </c>
      <c r="G541" t="str">
        <f>"12704"</f>
        <v>12704</v>
      </c>
      <c r="H541" t="str">
        <f t="shared" si="144"/>
        <v>01</v>
      </c>
      <c r="I541" t="s">
        <v>34</v>
      </c>
      <c r="J541" t="str">
        <f>"1101"</f>
        <v>1101</v>
      </c>
      <c r="K541" t="str">
        <f>"07"</f>
        <v>07</v>
      </c>
      <c r="L541" s="3">
        <v>4.1500000000000004</v>
      </c>
      <c r="M541" s="5">
        <v>4.1500000000000004</v>
      </c>
      <c r="N541" s="7">
        <v>4.1500000000000004</v>
      </c>
      <c r="O541" s="3">
        <v>0</v>
      </c>
      <c r="P541" s="7">
        <v>0</v>
      </c>
      <c r="Q541" s="7">
        <v>0</v>
      </c>
      <c r="R541" s="7">
        <v>0</v>
      </c>
      <c r="S541" s="7">
        <v>0</v>
      </c>
      <c r="T541" s="7">
        <v>4.1500000000000004</v>
      </c>
      <c r="U541" s="3">
        <v>0</v>
      </c>
      <c r="V541" s="7">
        <v>0</v>
      </c>
      <c r="W541" s="7">
        <v>0</v>
      </c>
      <c r="X541" s="3">
        <v>0</v>
      </c>
      <c r="Y541" s="7">
        <v>0</v>
      </c>
    </row>
    <row r="542" spans="1:25" x14ac:dyDescent="0.25">
      <c r="A542" t="s">
        <v>126</v>
      </c>
      <c r="B542" t="s">
        <v>97</v>
      </c>
      <c r="C542" t="str">
        <f t="shared" si="138"/>
        <v>1</v>
      </c>
      <c r="D542" t="str">
        <f>"5"</f>
        <v>5</v>
      </c>
      <c r="E542" t="str">
        <f>"0076193"</f>
        <v>0076193</v>
      </c>
      <c r="F542" t="s">
        <v>128</v>
      </c>
      <c r="G542" t="str">
        <f>"70"</f>
        <v>70</v>
      </c>
      <c r="H542" t="str">
        <f t="shared" si="144"/>
        <v>01</v>
      </c>
      <c r="I542" t="s">
        <v>75</v>
      </c>
      <c r="J542" t="str">
        <f>"6102"</f>
        <v>6102</v>
      </c>
      <c r="K542" t="str">
        <f>"02"</f>
        <v>02</v>
      </c>
      <c r="L542" s="3">
        <v>102</v>
      </c>
      <c r="M542" s="5">
        <v>102</v>
      </c>
      <c r="N542" s="7">
        <v>102</v>
      </c>
      <c r="O542" s="3">
        <v>0</v>
      </c>
      <c r="P542" s="7">
        <v>1.68</v>
      </c>
      <c r="Q542" s="7">
        <v>0</v>
      </c>
      <c r="R542" s="7">
        <v>0</v>
      </c>
      <c r="S542" s="7">
        <v>0</v>
      </c>
      <c r="T542" s="7">
        <v>102</v>
      </c>
      <c r="U542" s="3">
        <v>0</v>
      </c>
      <c r="V542" s="7">
        <v>7.75</v>
      </c>
      <c r="W542" s="7">
        <v>0</v>
      </c>
      <c r="X542" s="3">
        <v>0</v>
      </c>
      <c r="Y542" s="7">
        <v>0</v>
      </c>
    </row>
    <row r="543" spans="1:25" x14ac:dyDescent="0.25">
      <c r="A543" t="s">
        <v>126</v>
      </c>
      <c r="B543" t="s">
        <v>97</v>
      </c>
      <c r="C543" t="str">
        <f t="shared" si="138"/>
        <v>1</v>
      </c>
      <c r="D543" t="str">
        <f>"5"</f>
        <v>5</v>
      </c>
      <c r="E543" t="str">
        <f>"7032014"</f>
        <v>7032014</v>
      </c>
      <c r="F543" t="s">
        <v>129</v>
      </c>
      <c r="G543" t="str">
        <f>"13"</f>
        <v>13</v>
      </c>
      <c r="H543" t="str">
        <f>"21"</f>
        <v>21</v>
      </c>
      <c r="I543" t="s">
        <v>62</v>
      </c>
      <c r="J543" t="str">
        <f>"6102"</f>
        <v>6102</v>
      </c>
      <c r="K543" t="str">
        <f>"99"</f>
        <v>99</v>
      </c>
      <c r="L543" s="3">
        <v>5040</v>
      </c>
      <c r="M543" s="5">
        <v>4500</v>
      </c>
      <c r="N543" s="7">
        <v>0</v>
      </c>
      <c r="O543" s="3">
        <v>1.65</v>
      </c>
      <c r="P543" s="7">
        <v>0</v>
      </c>
      <c r="Q543" s="7">
        <v>0</v>
      </c>
      <c r="R543" s="7">
        <v>0</v>
      </c>
      <c r="S543" s="7">
        <v>0</v>
      </c>
      <c r="T543" s="7">
        <v>0</v>
      </c>
      <c r="U543" s="3">
        <v>7.6</v>
      </c>
      <c r="V543" s="7">
        <v>0</v>
      </c>
      <c r="W543" s="7">
        <v>0</v>
      </c>
      <c r="X543" s="3">
        <v>0</v>
      </c>
      <c r="Y543" s="7">
        <v>0</v>
      </c>
    </row>
  </sheetData>
  <pageMargins left="0.78740157499999996" right="0.78740157499999996" top="0.984251969" bottom="0.984251969" header="0.4921259845" footer="0.492125984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EFD CONTRIBUIÇÕES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tech-auto</cp:lastModifiedBy>
  <dcterms:created xsi:type="dcterms:W3CDTF">2019-11-21T23:09:36Z</dcterms:created>
  <dcterms:modified xsi:type="dcterms:W3CDTF">2019-11-21T23:09:40Z</dcterms:modified>
</cp:coreProperties>
</file>