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 user\Desktop\prueba\FincaLab\"/>
    </mc:Choice>
  </mc:AlternateContent>
  <xr:revisionPtr revIDLastSave="0" documentId="8_{1E8D402D-645A-4DCC-997C-24C70916CEE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Plantilla" sheetId="1" r:id="rId1"/>
    <sheet name="Bean Weight" sheetId="2" r:id="rId2"/>
    <sheet name="Propuesta Revision" sheetId="3" r:id="rId3"/>
  </sheets>
  <definedNames>
    <definedName name="_xlnm.Print_Area" localSheetId="1">'Bean Weight'!$A$1:$K$24</definedName>
    <definedName name="_xlnm.Print_Area" localSheetId="0">Plantilla!$A$1:$AE$55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E28" i="1"/>
  <c r="S62" i="1"/>
  <c r="S30" i="1"/>
  <c r="AD70" i="1" l="1"/>
  <c r="AD64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E79" i="1" l="1"/>
  <c r="E77" i="1"/>
  <c r="E75" i="1"/>
  <c r="E78" i="1"/>
  <c r="E74" i="1"/>
  <c r="AC30" i="1" l="1"/>
  <c r="AB30" i="1"/>
  <c r="AA30" i="1"/>
  <c r="Z30" i="1"/>
  <c r="Y30" i="1"/>
  <c r="X30" i="1"/>
  <c r="W30" i="1"/>
  <c r="V30" i="1"/>
  <c r="U30" i="1"/>
  <c r="T30" i="1"/>
  <c r="R30" i="1"/>
  <c r="Q30" i="1"/>
  <c r="P30" i="1"/>
  <c r="O30" i="1"/>
  <c r="N30" i="1"/>
  <c r="M30" i="1"/>
  <c r="L30" i="1"/>
  <c r="K30" i="1"/>
  <c r="J30" i="1"/>
  <c r="I30" i="1"/>
  <c r="H30" i="1"/>
  <c r="AD26" i="1" l="1"/>
  <c r="AD25" i="1"/>
  <c r="AD24" i="1"/>
  <c r="Z19" i="1" l="1"/>
  <c r="BZ19" i="1" s="1"/>
  <c r="BP15" i="1"/>
  <c r="BP14" i="1"/>
  <c r="BJ14" i="1"/>
  <c r="BD18" i="1"/>
  <c r="BC31" i="1"/>
  <c r="BB30" i="1"/>
  <c r="BB29" i="1"/>
  <c r="BB28" i="1"/>
  <c r="BB27" i="1"/>
  <c r="BB26" i="1"/>
  <c r="BB25" i="1"/>
  <c r="BB24" i="1"/>
  <c r="BD22" i="1"/>
  <c r="M109" i="1"/>
  <c r="M5" i="1" s="1"/>
  <c r="BM5" i="1" s="1"/>
  <c r="M113" i="1"/>
  <c r="M9" i="1" s="1"/>
  <c r="BM9" i="1" s="1"/>
  <c r="N110" i="1"/>
  <c r="N6" i="1" s="1"/>
  <c r="BN6" i="1" s="1"/>
  <c r="Q105" i="1"/>
  <c r="Q1" i="1" s="1"/>
  <c r="BQ1" i="1" s="1"/>
  <c r="K114" i="1"/>
  <c r="K10" i="1" s="1"/>
  <c r="BK10" i="1" s="1"/>
  <c r="R113" i="1" l="1"/>
  <c r="R9" i="1" s="1"/>
  <c r="BR9" i="1" s="1"/>
  <c r="R110" i="1"/>
  <c r="R6" i="1" s="1"/>
  <c r="BR6" i="1" s="1"/>
  <c r="AA111" i="1" l="1"/>
  <c r="AA7" i="1" s="1"/>
  <c r="F29" i="1" l="1"/>
  <c r="F28" i="1"/>
  <c r="Y105" i="1" l="1"/>
  <c r="Y1" i="1" s="1"/>
  <c r="C74" i="1" l="1"/>
  <c r="C30" i="1"/>
  <c r="AD1" i="1" l="1"/>
  <c r="H31" i="1"/>
  <c r="L31" i="1"/>
  <c r="P31" i="1"/>
  <c r="T31" i="1"/>
  <c r="X31" i="1"/>
  <c r="AB31" i="1"/>
  <c r="K31" i="1"/>
  <c r="O31" i="1"/>
  <c r="S31" i="1"/>
  <c r="W31" i="1"/>
  <c r="AA31" i="1"/>
  <c r="Q31" i="1"/>
  <c r="Y31" i="1"/>
  <c r="J31" i="1"/>
  <c r="N31" i="1"/>
  <c r="R31" i="1"/>
  <c r="V31" i="1"/>
  <c r="Z31" i="1"/>
  <c r="I31" i="1"/>
  <c r="M31" i="1"/>
  <c r="U31" i="1"/>
  <c r="AC31" i="1"/>
  <c r="E27" i="1"/>
  <c r="F27" i="1" s="1"/>
  <c r="E24" i="1"/>
  <c r="F24" i="1" s="1"/>
  <c r="G74" i="1" s="1"/>
  <c r="E76" i="1"/>
  <c r="E26" i="1" s="1"/>
  <c r="F26" i="1" s="1"/>
  <c r="E25" i="1"/>
  <c r="F25" i="1" s="1"/>
  <c r="D24" i="1"/>
  <c r="T81" i="1"/>
  <c r="Z1" i="1" l="1"/>
  <c r="O63" i="1"/>
  <c r="M63" i="1"/>
  <c r="E30" i="1"/>
  <c r="F30" i="1" s="1"/>
  <c r="AC109" i="1"/>
  <c r="AC5" i="1" s="1"/>
  <c r="S115" i="1"/>
  <c r="S114" i="1"/>
  <c r="S112" i="1"/>
  <c r="S111" i="1"/>
  <c r="AL113" i="1"/>
  <c r="AL68" i="1" s="1"/>
  <c r="AJ113" i="1"/>
  <c r="AJ68" i="1" s="1"/>
  <c r="AJ111" i="1"/>
  <c r="AJ66" i="1" s="1"/>
  <c r="AL109" i="1"/>
  <c r="AL98" i="1" s="1"/>
  <c r="H98" i="1" s="1"/>
  <c r="AJ109" i="1"/>
  <c r="AJ98" i="1" s="1"/>
  <c r="E98" i="1" s="1"/>
  <c r="AJ105" i="1"/>
  <c r="AJ60" i="1" s="1"/>
  <c r="M125" i="1"/>
  <c r="F125" i="1"/>
  <c r="AD135" i="1"/>
  <c r="AD134" i="1"/>
  <c r="G135" i="1"/>
  <c r="G134" i="1"/>
  <c r="B134" i="1"/>
  <c r="C135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C115" i="1"/>
  <c r="AC11" i="1" s="1"/>
  <c r="AC114" i="1"/>
  <c r="AC10" i="1" s="1"/>
  <c r="AC113" i="1"/>
  <c r="AC9" i="1" s="1"/>
  <c r="AC105" i="1"/>
  <c r="AC107" i="1"/>
  <c r="AC117" i="1"/>
  <c r="Z121" i="1"/>
  <c r="Z119" i="1"/>
  <c r="U123" i="1"/>
  <c r="U19" i="1" s="1"/>
  <c r="BU19" i="1" s="1"/>
  <c r="U121" i="1"/>
  <c r="U119" i="1"/>
  <c r="U117" i="1"/>
  <c r="O121" i="1"/>
  <c r="O117" i="1"/>
  <c r="N115" i="1"/>
  <c r="N114" i="1"/>
  <c r="I117" i="1"/>
  <c r="K115" i="1"/>
  <c r="K113" i="1"/>
  <c r="K112" i="1"/>
  <c r="K111" i="1"/>
  <c r="K110" i="1"/>
  <c r="K109" i="1"/>
  <c r="K108" i="1"/>
  <c r="K107" i="1"/>
  <c r="K106" i="1"/>
  <c r="K105" i="1"/>
  <c r="AB123" i="1"/>
  <c r="AB19" i="1" s="1"/>
  <c r="AB121" i="1"/>
  <c r="P118" i="1"/>
  <c r="P119" i="1"/>
  <c r="P123" i="1"/>
  <c r="P122" i="1"/>
  <c r="K123" i="1"/>
  <c r="K122" i="1"/>
  <c r="J121" i="1"/>
  <c r="J118" i="1"/>
  <c r="D123" i="1"/>
  <c r="D122" i="1"/>
  <c r="D121" i="1"/>
  <c r="F119" i="1"/>
  <c r="D119" i="1"/>
  <c r="D118" i="1"/>
  <c r="C117" i="1"/>
  <c r="E115" i="1"/>
  <c r="E114" i="1"/>
  <c r="E113" i="1"/>
  <c r="E112" i="1"/>
  <c r="E111" i="1"/>
  <c r="E110" i="1"/>
  <c r="E109" i="1"/>
  <c r="E108" i="1"/>
  <c r="E107" i="1"/>
  <c r="E106" i="1"/>
  <c r="E105" i="1"/>
  <c r="AD22" i="1" l="1"/>
  <c r="CD22" i="1" s="1"/>
  <c r="AB22" i="1"/>
  <c r="AA22" i="1"/>
  <c r="Y22" i="1"/>
  <c r="BY22" i="1" s="1"/>
  <c r="X22" i="1"/>
  <c r="W22" i="1"/>
  <c r="BW22" i="1" s="1"/>
  <c r="V22" i="1"/>
  <c r="T22" i="1"/>
  <c r="BT22" i="1" s="1"/>
  <c r="S22" i="1"/>
  <c r="R22" i="1"/>
  <c r="BR22" i="1" s="1"/>
  <c r="Q22" i="1"/>
  <c r="P22" i="1"/>
  <c r="BP22" i="1" s="1"/>
  <c r="O22" i="1"/>
  <c r="N22" i="1"/>
  <c r="BN22" i="1" s="1"/>
  <c r="M22" i="1"/>
  <c r="K22" i="1"/>
  <c r="I22" i="1"/>
  <c r="AC22" i="1"/>
  <c r="Z22" i="1"/>
  <c r="U22" i="1"/>
  <c r="L22" i="1"/>
  <c r="J22" i="1"/>
  <c r="H22" i="1"/>
  <c r="F22" i="1"/>
  <c r="BF22" i="1" s="1"/>
  <c r="E22" i="1"/>
  <c r="BE22" i="1" s="1"/>
  <c r="C22" i="1"/>
  <c r="BC22" i="1" s="1"/>
  <c r="B22" i="1"/>
  <c r="BB22" i="1" s="1"/>
  <c r="AB17" i="1"/>
  <c r="Z18" i="1"/>
  <c r="BZ18" i="1" s="1"/>
  <c r="P19" i="1"/>
  <c r="BP19" i="1" s="1"/>
  <c r="P18" i="1"/>
  <c r="BP18" i="1" s="1"/>
  <c r="K19" i="1"/>
  <c r="BK19" i="1" s="1"/>
  <c r="K18" i="1"/>
  <c r="BK18" i="1" s="1"/>
  <c r="J17" i="1"/>
  <c r="BJ17" i="1" s="1"/>
  <c r="D19" i="1"/>
  <c r="BD19" i="1" s="1"/>
  <c r="D17" i="1"/>
  <c r="BD17" i="1" s="1"/>
  <c r="D15" i="1"/>
  <c r="BD15" i="1" s="1"/>
  <c r="C13" i="1"/>
  <c r="BC13" i="1" s="1"/>
  <c r="D14" i="1"/>
  <c r="BD14" i="1" s="1"/>
  <c r="F15" i="1"/>
  <c r="BF15" i="1" s="1"/>
  <c r="I13" i="1"/>
  <c r="BI13" i="1" s="1"/>
  <c r="I16" i="1"/>
  <c r="BI16" i="1" s="1"/>
  <c r="O17" i="1"/>
  <c r="BO17" i="1" s="1"/>
  <c r="O13" i="1"/>
  <c r="BO13" i="1" s="1"/>
  <c r="U17" i="1"/>
  <c r="BU17" i="1" s="1"/>
  <c r="U15" i="1"/>
  <c r="BU15" i="1" s="1"/>
  <c r="U13" i="1"/>
  <c r="BU13" i="1" s="1"/>
  <c r="Z17" i="1"/>
  <c r="BZ17" i="1" s="1"/>
  <c r="Z15" i="1"/>
  <c r="BZ15" i="1" s="1"/>
  <c r="AC3" i="1"/>
  <c r="AC1" i="1"/>
  <c r="S11" i="1"/>
  <c r="BS11" i="1" s="1"/>
  <c r="S10" i="1"/>
  <c r="BS10" i="1" s="1"/>
  <c r="S8" i="1"/>
  <c r="BS8" i="1" s="1"/>
  <c r="S7" i="1"/>
  <c r="BS7" i="1" s="1"/>
  <c r="N11" i="1"/>
  <c r="BN11" i="1" s="1"/>
  <c r="N10" i="1"/>
  <c r="BN10" i="1" s="1"/>
  <c r="K11" i="1"/>
  <c r="BK11" i="1" s="1"/>
  <c r="K9" i="1"/>
  <c r="BK9" i="1" s="1"/>
  <c r="K8" i="1"/>
  <c r="BK8" i="1" s="1"/>
  <c r="K7" i="1"/>
  <c r="BK7" i="1" s="1"/>
  <c r="K6" i="1"/>
  <c r="BK6" i="1" s="1"/>
  <c r="K5" i="1"/>
  <c r="BK5" i="1" s="1"/>
  <c r="K4" i="1"/>
  <c r="BK4" i="1" s="1"/>
  <c r="K3" i="1"/>
  <c r="BK3" i="1" s="1"/>
  <c r="K2" i="1"/>
  <c r="BK2" i="1" s="1"/>
  <c r="K1" i="1"/>
  <c r="BK1" i="1" s="1"/>
  <c r="E11" i="1"/>
  <c r="BE11" i="1" s="1"/>
  <c r="E10" i="1"/>
  <c r="BE10" i="1" s="1"/>
  <c r="E9" i="1"/>
  <c r="BE9" i="1" s="1"/>
  <c r="E8" i="1"/>
  <c r="BE8" i="1" s="1"/>
  <c r="E7" i="1"/>
  <c r="BE7" i="1" s="1"/>
  <c r="E6" i="1"/>
  <c r="BE6" i="1" s="1"/>
  <c r="E5" i="1"/>
  <c r="BE5" i="1" s="1"/>
  <c r="E4" i="1"/>
  <c r="BE4" i="1" s="1"/>
  <c r="E3" i="1"/>
  <c r="BE3" i="1" s="1"/>
  <c r="E2" i="1"/>
  <c r="BE2" i="1" s="1"/>
  <c r="E1" i="1"/>
  <c r="BE1" i="1" s="1"/>
  <c r="AJ26" i="1" l="1"/>
  <c r="BH22" i="1"/>
  <c r="AJ34" i="1"/>
  <c r="BL22" i="1"/>
  <c r="AJ50" i="1"/>
  <c r="BZ22" i="1"/>
  <c r="AJ28" i="1"/>
  <c r="BI22" i="1"/>
  <c r="AJ36" i="1"/>
  <c r="BM22" i="1"/>
  <c r="AJ38" i="1"/>
  <c r="BO22" i="1"/>
  <c r="AJ40" i="1"/>
  <c r="BQ22" i="1"/>
  <c r="AJ42" i="1"/>
  <c r="BS22" i="1"/>
  <c r="AJ46" i="1"/>
  <c r="BV22" i="1"/>
  <c r="AJ48" i="1"/>
  <c r="BX22" i="1"/>
  <c r="AJ52" i="1"/>
  <c r="CA22" i="1"/>
  <c r="AJ30" i="1"/>
  <c r="BJ22" i="1"/>
  <c r="AJ44" i="1"/>
  <c r="BU22" i="1"/>
  <c r="AJ56" i="1"/>
  <c r="CC22" i="1"/>
  <c r="AJ32" i="1"/>
  <c r="BK22" i="1"/>
  <c r="AJ54" i="1"/>
  <c r="CB22" i="1"/>
  <c r="AD92" i="1" l="1"/>
  <c r="AD93" i="1" s="1"/>
  <c r="AD94" i="1" s="1"/>
  <c r="AD95" i="1" s="1"/>
  <c r="AD27" i="1" s="1"/>
  <c r="E91" i="1" l="1"/>
  <c r="E90" i="1"/>
  <c r="E89" i="1"/>
  <c r="E88" i="1"/>
  <c r="E87" i="1"/>
  <c r="B10" i="2" l="1"/>
  <c r="B11" i="2"/>
  <c r="B12" i="2"/>
  <c r="B13" i="2"/>
  <c r="E14" i="1"/>
  <c r="AA17" i="1"/>
  <c r="G75" i="1"/>
  <c r="G76" i="1"/>
  <c r="G77" i="1"/>
  <c r="G78" i="1"/>
  <c r="G79" i="1"/>
  <c r="C75" i="1"/>
  <c r="C88" i="1" s="1"/>
  <c r="J88" i="1" s="1"/>
  <c r="C76" i="1"/>
  <c r="C89" i="1" s="1"/>
  <c r="J89" i="1" s="1"/>
  <c r="C77" i="1"/>
  <c r="C90" i="1" s="1"/>
  <c r="J90" i="1" s="1"/>
  <c r="C78" i="1"/>
  <c r="C91" i="1" s="1"/>
  <c r="J91" i="1" s="1"/>
  <c r="C79" i="1"/>
  <c r="C92" i="1" s="1"/>
  <c r="J92" i="1" s="1"/>
  <c r="AD13" i="1" l="1"/>
  <c r="N62" i="1" l="1"/>
  <c r="M81" i="1"/>
  <c r="M82" i="1" s="1"/>
  <c r="W81" i="1"/>
  <c r="W82" i="1" s="1"/>
  <c r="D27" i="1"/>
  <c r="D28" i="1"/>
  <c r="D26" i="1"/>
  <c r="D25" i="1"/>
  <c r="M67" i="1"/>
  <c r="M68" i="1" s="1"/>
  <c r="M62" i="1"/>
  <c r="N81" i="1"/>
  <c r="N82" i="1" s="1"/>
  <c r="P81" i="1"/>
  <c r="P82" i="1" s="1"/>
  <c r="O81" i="1"/>
  <c r="O82" i="1" s="1"/>
  <c r="P62" i="1"/>
  <c r="O62" i="1"/>
  <c r="O67" i="1"/>
  <c r="O68" i="1" s="1"/>
  <c r="L81" i="1"/>
  <c r="L82" i="1" s="1"/>
  <c r="Z81" i="1"/>
  <c r="N67" i="1"/>
  <c r="N68" i="1" s="1"/>
  <c r="I81" i="1"/>
  <c r="AI36" i="1"/>
  <c r="Q67" i="1"/>
  <c r="Q68" i="1" s="1"/>
  <c r="Q69" i="1" s="1"/>
  <c r="Q62" i="1"/>
  <c r="Q63" i="1" s="1"/>
  <c r="AI40" i="1" s="1"/>
  <c r="AB62" i="1"/>
  <c r="AB63" i="1" s="1"/>
  <c r="AI54" i="1" s="1"/>
  <c r="S63" i="1"/>
  <c r="AI42" i="1" s="1"/>
  <c r="X81" i="1"/>
  <c r="X82" i="1" s="1"/>
  <c r="U81" i="1"/>
  <c r="U82" i="1" s="1"/>
  <c r="J62" i="1"/>
  <c r="J63" i="1" s="1"/>
  <c r="AH30" i="1" s="1"/>
  <c r="J67" i="1"/>
  <c r="J68" i="1" s="1"/>
  <c r="J69" i="1" s="1"/>
  <c r="P67" i="1"/>
  <c r="P68" i="1" s="1"/>
  <c r="U62" i="1"/>
  <c r="U63" i="1" s="1"/>
  <c r="AH44" i="1" s="1"/>
  <c r="U67" i="1"/>
  <c r="U68" i="1" s="1"/>
  <c r="U69" i="1" s="1"/>
  <c r="D29" i="1"/>
  <c r="AB81" i="1"/>
  <c r="R81" i="1"/>
  <c r="Y81" i="1"/>
  <c r="AA81" i="1"/>
  <c r="AC81" i="1"/>
  <c r="H62" i="1"/>
  <c r="H63" i="1" s="1"/>
  <c r="AH26" i="1" s="1"/>
  <c r="C87" i="1"/>
  <c r="J87" i="1" s="1"/>
  <c r="J94" i="1" s="1"/>
  <c r="H81" i="1"/>
  <c r="Q81" i="1"/>
  <c r="Q82" i="1" s="1"/>
  <c r="Z62" i="1"/>
  <c r="Z63" i="1" s="1"/>
  <c r="AH50" i="1" s="1"/>
  <c r="I67" i="1"/>
  <c r="I68" i="1" s="1"/>
  <c r="I69" i="1" s="1"/>
  <c r="I62" i="1"/>
  <c r="I63" i="1" s="1"/>
  <c r="AI28" i="1" s="1"/>
  <c r="J81" i="1"/>
  <c r="J82" i="1" s="1"/>
  <c r="K81" i="1"/>
  <c r="K82" i="1" s="1"/>
  <c r="H67" i="1"/>
  <c r="H68" i="1" s="1"/>
  <c r="H69" i="1" s="1"/>
  <c r="L62" i="1"/>
  <c r="L63" i="1" s="1"/>
  <c r="AH34" i="1" s="1"/>
  <c r="L67" i="1"/>
  <c r="L68" i="1" s="1"/>
  <c r="L69" i="1" s="1"/>
  <c r="AI38" i="1"/>
  <c r="V67" i="1"/>
  <c r="V68" i="1" s="1"/>
  <c r="V69" i="1" s="1"/>
  <c r="X67" i="1"/>
  <c r="X68" i="1" s="1"/>
  <c r="X69" i="1" s="1"/>
  <c r="X62" i="1"/>
  <c r="X63" i="1" s="1"/>
  <c r="AI48" i="1" s="1"/>
  <c r="S81" i="1"/>
  <c r="S82" i="1" s="1"/>
  <c r="K67" i="1"/>
  <c r="K68" i="1" s="1"/>
  <c r="K69" i="1" s="1"/>
  <c r="K62" i="1"/>
  <c r="K63" i="1" s="1"/>
  <c r="AI32" i="1" s="1"/>
  <c r="Y62" i="1"/>
  <c r="Y63" i="1" s="1"/>
  <c r="AC62" i="1"/>
  <c r="AC63" i="1" s="1"/>
  <c r="AH56" i="1" s="1"/>
  <c r="AA62" i="1"/>
  <c r="AA63" i="1" s="1"/>
  <c r="AI52" i="1" s="1"/>
  <c r="V81" i="1"/>
  <c r="V82" i="1" s="1"/>
  <c r="V62" i="1"/>
  <c r="V63" i="1" s="1"/>
  <c r="AI46" i="1" s="1"/>
  <c r="H82" i="1" l="1"/>
  <c r="AD81" i="1"/>
  <c r="AD80" i="1" s="1"/>
  <c r="C94" i="1"/>
  <c r="E94" i="1" s="1"/>
  <c r="B31" i="1" s="1"/>
  <c r="I82" i="1"/>
  <c r="AD63" i="1"/>
  <c r="AD3" i="1" s="1"/>
  <c r="M69" i="1"/>
  <c r="O69" i="1"/>
  <c r="D30" i="1"/>
  <c r="AD69" i="1" l="1"/>
  <c r="AD5" i="1" s="1"/>
  <c r="AD82" i="1"/>
  <c r="AD83" i="1" s="1"/>
  <c r="AD10" i="1"/>
  <c r="AD9" i="1"/>
  <c r="AD11" i="1"/>
  <c r="E96" i="1"/>
</calcChain>
</file>

<file path=xl/sharedStrings.xml><?xml version="1.0" encoding="utf-8"?>
<sst xmlns="http://schemas.openxmlformats.org/spreadsheetml/2006/main" count="448" uniqueCount="302">
  <si>
    <t>Dueño:</t>
  </si>
  <si>
    <t>Calidad de Cerezas:</t>
  </si>
  <si>
    <t>Fecha llegada (muestra):</t>
  </si>
  <si>
    <t>Método secado (P,S,C):</t>
  </si>
  <si>
    <t>Predio:</t>
  </si>
  <si>
    <t>Aspecto</t>
  </si>
  <si>
    <t xml:space="preserve">Fecha evaluado: </t>
  </si>
  <si>
    <t xml:space="preserve">Evaluado por: </t>
  </si>
  <si>
    <t>La Taza</t>
  </si>
  <si>
    <t>Yield estimate formulas are from file: Rendimiento_3.xls</t>
  </si>
  <si>
    <t>(350 g L, 400 g ND, 600 g C)</t>
  </si>
  <si>
    <t xml:space="preserve">Sabor: </t>
  </si>
  <si>
    <t xml:space="preserve">Acidez: </t>
  </si>
  <si>
    <t xml:space="preserve">Balance: </t>
  </si>
  <si>
    <t xml:space="preserve">Puntuacion de la Taza: </t>
  </si>
  <si>
    <t xml:space="preserve">Fragrancia/Aroma: </t>
  </si>
  <si>
    <t xml:space="preserve">Cualidades: </t>
  </si>
  <si>
    <t xml:space="preserve">Seco: </t>
  </si>
  <si>
    <t>Mojado:</t>
  </si>
  <si>
    <t xml:space="preserve">Intensidad 1-5: </t>
  </si>
  <si>
    <t xml:space="preserve">Uniformidad - tazas: </t>
  </si>
  <si>
    <t xml:space="preserve">Puntaje Catador: </t>
  </si>
  <si>
    <t xml:space="preserve">Sabor remanente: </t>
  </si>
  <si>
    <t>Cualidades 1:</t>
  </si>
  <si>
    <t xml:space="preserve">Cuerpo: </t>
  </si>
  <si>
    <t xml:space="preserve">Taza limpia: </t>
  </si>
  <si>
    <t xml:space="preserve">Defectos: </t>
  </si>
  <si>
    <t>(Sustraer)</t>
  </si>
  <si>
    <t xml:space="preserve">Espuma: </t>
  </si>
  <si>
    <t xml:space="preserve"># tazas: </t>
  </si>
  <si>
    <t>Cualidades 2-3:</t>
  </si>
  <si>
    <t xml:space="preserve">Dulzor: </t>
  </si>
  <si>
    <t xml:space="preserve">Intensidad: </t>
  </si>
  <si>
    <t>( 1 - 5 )     ( 4 = rechazo)</t>
  </si>
  <si>
    <t xml:space="preserve"> gm</t>
  </si>
  <si>
    <t>Cantidad</t>
  </si>
  <si>
    <t>Descripcion y comentos</t>
  </si>
  <si>
    <t>Criba</t>
  </si>
  <si>
    <t>%</t>
  </si>
  <si>
    <t>Broca Severa</t>
  </si>
  <si>
    <t>Broca</t>
  </si>
  <si>
    <t>Negro</t>
  </si>
  <si>
    <t>Negro Parcial</t>
  </si>
  <si>
    <t>Agrio</t>
  </si>
  <si>
    <t>Agrio parcial</t>
  </si>
  <si>
    <t>Aplastado</t>
  </si>
  <si>
    <t>Daño</t>
  </si>
  <si>
    <t>Dano y Agrio parcial</t>
  </si>
  <si>
    <t>Blanco</t>
  </si>
  <si>
    <t>Elefante</t>
  </si>
  <si>
    <t>Concha</t>
  </si>
  <si>
    <t>Malformado</t>
  </si>
  <si>
    <t>Daño de hongos</t>
  </si>
  <si>
    <t>Inmaduro</t>
  </si>
  <si>
    <t>Sobresecado</t>
  </si>
  <si>
    <t>Arrugado</t>
  </si>
  <si>
    <t>Quebrado</t>
  </si>
  <si>
    <t>Cereza Seca</t>
  </si>
  <si>
    <t>Pergamino</t>
  </si>
  <si>
    <t>Cascara o pulpa seca</t>
  </si>
  <si>
    <t>Materia extraña</t>
  </si>
  <si>
    <t>Rojo</t>
  </si>
  <si>
    <t>Azul</t>
  </si>
  <si>
    <t>F</t>
  </si>
  <si>
    <t>Totales:</t>
  </si>
  <si>
    <t>Granos:</t>
  </si>
  <si>
    <t>granos/defecto:</t>
  </si>
  <si>
    <t>Score AP &amp; DAP,and A &amp; D combined:</t>
  </si>
  <si>
    <t>Puntacion anticipado:</t>
  </si>
  <si>
    <t>Puntacion anticipado AP y DAP,and A &amp; D combinado:</t>
  </si>
  <si>
    <t>gm/grano</t>
  </si>
  <si>
    <t>todo defectos, gm</t>
  </si>
  <si>
    <t>Peso del defectos no quitables,gm</t>
  </si>
  <si>
    <t>Measured:</t>
  </si>
  <si>
    <t>screen</t>
  </si>
  <si>
    <t>Bean gm</t>
  </si>
  <si>
    <t>0.0176*A10-0.1424</t>
  </si>
  <si>
    <t>The original equation derived from measured values</t>
  </si>
  <si>
    <t>Cantidad, sacos:</t>
  </si>
  <si>
    <t>Color en oro:</t>
  </si>
  <si>
    <t>Miel, dulce</t>
  </si>
  <si>
    <t xml:space="preserve">Quakers: </t>
  </si>
  <si>
    <t xml:space="preserve">Uniformidad tostado: </t>
  </si>
  <si>
    <t>5 =</t>
  </si>
  <si>
    <t>Cremoso</t>
  </si>
  <si>
    <t>Promedio ponderado</t>
  </si>
  <si>
    <t xml:space="preserve">Graph ID: </t>
  </si>
  <si>
    <t>Assume Fondo is screen 13</t>
  </si>
  <si>
    <t>Bean Density:</t>
  </si>
  <si>
    <t xml:space="preserve">Screen 19 packing factor, flat sided beans: </t>
  </si>
  <si>
    <t xml:space="preserve">Packing factor adjustment for Screen size, % </t>
  </si>
  <si>
    <t xml:space="preserve">Packing factors: </t>
  </si>
  <si>
    <t>Bean_density_experiment_2a.xlsx</t>
  </si>
  <si>
    <t xml:space="preserve">Volume of beans measured, cc: </t>
  </si>
  <si>
    <t>Actividad Agua, %:</t>
  </si>
  <si>
    <t>Tazas:</t>
  </si>
  <si>
    <t>Screen size:</t>
  </si>
  <si>
    <t xml:space="preserve">Packing factors from file: </t>
  </si>
  <si>
    <t xml:space="preserve"> </t>
  </si>
  <si>
    <t>Translation master:</t>
  </si>
  <si>
    <t>en</t>
  </si>
  <si>
    <t>Weighted ave. screen size</t>
  </si>
  <si>
    <t>SPANISH</t>
  </si>
  <si>
    <t>ENGLISH</t>
  </si>
  <si>
    <t>E = English</t>
  </si>
  <si>
    <t>S = Spanish</t>
  </si>
  <si>
    <t>Coffee Process (LM,LT,ND, N):</t>
  </si>
  <si>
    <t>Form of Coffee (P,C,S,F,O):</t>
  </si>
  <si>
    <t>Producer lot # :</t>
  </si>
  <si>
    <t>Producer lot name:</t>
  </si>
  <si>
    <t>Number of bags:</t>
  </si>
  <si>
    <t>Date of lot:</t>
  </si>
  <si>
    <t>Green coffee uniformity (1-5):</t>
  </si>
  <si>
    <t xml:space="preserve">Cup chaacter:  </t>
  </si>
  <si>
    <t xml:space="preserve">Fragrance/Aroma: </t>
  </si>
  <si>
    <t xml:space="preserve">Dry: </t>
  </si>
  <si>
    <t>Wet:</t>
  </si>
  <si>
    <t xml:space="preserve">Break: </t>
  </si>
  <si>
    <t>Qualities 1:</t>
  </si>
  <si>
    <t>Qualities 2-3:</t>
  </si>
  <si>
    <t>Owner:</t>
  </si>
  <si>
    <t>Community:</t>
  </si>
  <si>
    <t>Producer last name:</t>
  </si>
  <si>
    <t>Producer name:</t>
  </si>
  <si>
    <t>Plot name:</t>
  </si>
  <si>
    <t>Sample taken by:</t>
  </si>
  <si>
    <t>Moisture in parchment:</t>
  </si>
  <si>
    <t>Green coffee moisture:</t>
  </si>
  <si>
    <t>Green coffee color:</t>
  </si>
  <si>
    <t>Water Activity, %:</t>
  </si>
  <si>
    <t xml:space="preserve">Flavor: </t>
  </si>
  <si>
    <t xml:space="preserve">Qualities: </t>
  </si>
  <si>
    <t xml:space="preserve">Uniformity of roast: </t>
  </si>
  <si>
    <t># evaluated</t>
  </si>
  <si>
    <t>Cups:</t>
  </si>
  <si>
    <t xml:space="preserve">Acidity: </t>
  </si>
  <si>
    <t xml:space="preserve">Intensity, 1-5: </t>
  </si>
  <si>
    <t xml:space="preserve">Body: </t>
  </si>
  <si>
    <t>Fruit quality:</t>
  </si>
  <si>
    <t>Certification? (None, Org, Utz):</t>
  </si>
  <si>
    <t>Drying method (P,S,C):</t>
  </si>
  <si>
    <t>Aspect</t>
  </si>
  <si>
    <t xml:space="preserve">Date evaluated: </t>
  </si>
  <si>
    <t xml:space="preserve">Evaluated byr: </t>
  </si>
  <si>
    <t>Cup</t>
  </si>
  <si>
    <t xml:space="preserve">Uniformity - cups: </t>
  </si>
  <si>
    <t xml:space="preserve">Clean cup: </t>
  </si>
  <si>
    <t xml:space="preserve">Sweetness: </t>
  </si>
  <si>
    <t xml:space="preserve">Cupper's points: </t>
  </si>
  <si>
    <t xml:space="preserve">Defects: </t>
  </si>
  <si>
    <t xml:space="preserve"># of cups: </t>
  </si>
  <si>
    <t xml:space="preserve">Intensity: </t>
  </si>
  <si>
    <t>( 1 - 5 )     ( 4 = reject)</t>
  </si>
  <si>
    <t>Quantity</t>
  </si>
  <si>
    <t>Screen</t>
  </si>
  <si>
    <t>Full black</t>
  </si>
  <si>
    <t>Partial black</t>
  </si>
  <si>
    <t>Full sour</t>
  </si>
  <si>
    <t>Partial sour</t>
  </si>
  <si>
    <t>Squashed</t>
  </si>
  <si>
    <t>Damaged</t>
  </si>
  <si>
    <t>Damaged &amp; partial sour</t>
  </si>
  <si>
    <t>White (floater)</t>
  </si>
  <si>
    <t>Elephant</t>
  </si>
  <si>
    <t>Shell</t>
  </si>
  <si>
    <t>Malformed</t>
  </si>
  <si>
    <t>Fungus damage</t>
  </si>
  <si>
    <t>Immature</t>
  </si>
  <si>
    <t>Over dried</t>
  </si>
  <si>
    <t>Whithered</t>
  </si>
  <si>
    <t>Broken</t>
  </si>
  <si>
    <t>Dried cherry</t>
  </si>
  <si>
    <t>Parchment</t>
  </si>
  <si>
    <t>Extraneous material</t>
  </si>
  <si>
    <t>in</t>
  </si>
  <si>
    <t>Beans:</t>
  </si>
  <si>
    <t xml:space="preserve">Totals: </t>
  </si>
  <si>
    <t>Weighted average</t>
  </si>
  <si>
    <t>Number of defects, Q® scale:</t>
  </si>
  <si>
    <t xml:space="preserve">Reserva Grade Exportable: </t>
  </si>
  <si>
    <t xml:space="preserve"> EP Grade Exportable: </t>
  </si>
  <si>
    <t xml:space="preserve">AP Grade Exportable: </t>
  </si>
  <si>
    <t xml:space="preserve">Cup Score: </t>
  </si>
  <si>
    <t>(Subtract)</t>
  </si>
  <si>
    <t>Hull or skin</t>
  </si>
  <si>
    <t>Cuenta de Defectos</t>
  </si>
  <si>
    <t>Chart of Defects</t>
  </si>
  <si>
    <t xml:space="preserve">LANGUAGE: </t>
  </si>
  <si>
    <t xml:space="preserve">Radial Chart Title: </t>
  </si>
  <si>
    <t>Tamaño de criba</t>
  </si>
  <si>
    <t>Screen size</t>
  </si>
  <si>
    <t>Percentage by weight</t>
  </si>
  <si>
    <t>Porcentaje por peso</t>
  </si>
  <si>
    <t>Beans</t>
  </si>
  <si>
    <t>Defects</t>
  </si>
  <si>
    <t>Granos</t>
  </si>
  <si>
    <t>Defectos</t>
  </si>
  <si>
    <t>Wet Mill ID:</t>
  </si>
  <si>
    <t>Spanish</t>
  </si>
  <si>
    <t>English</t>
  </si>
  <si>
    <t>Puntacion, defectos Q® :</t>
  </si>
  <si>
    <t>Total Yield, % :</t>
  </si>
  <si>
    <t>Sample sequence # :</t>
  </si>
  <si>
    <t>Decide to use screen 13 for the fondo</t>
  </si>
  <si>
    <t>Sample arrival date:</t>
  </si>
  <si>
    <t>Anticipado escaledo a 350 g:</t>
  </si>
  <si>
    <t>Peso de los granos quitados como defectos:</t>
  </si>
  <si>
    <t xml:space="preserve">   % peso utilizado</t>
  </si>
  <si>
    <t>Peso actual por criba</t>
  </si>
  <si>
    <t>grano, g</t>
  </si>
  <si>
    <t>def, g</t>
  </si>
  <si>
    <t>Rendi. Total, % :</t>
  </si>
  <si>
    <t>Not Exportable, % :</t>
  </si>
  <si>
    <t>P</t>
  </si>
  <si>
    <t>Defectos "individuales" basado en 350 g:</t>
  </si>
  <si>
    <t>factores de limpieza, % quitable con Oliver solo:</t>
  </si>
  <si>
    <t>Salidas Estimadas, porcento del Oro Bruto</t>
  </si>
  <si>
    <t>Estimated Yields, % of Bulk Green</t>
  </si>
  <si>
    <t>Defectos Estimados despues el Oliver, Q® :</t>
  </si>
  <si>
    <t>MASTER</t>
  </si>
  <si>
    <t>El peso evaluado, g:</t>
  </si>
  <si>
    <t>Peso del lote, kg:</t>
  </si>
  <si>
    <t>Secuencia de la muestra, #:</t>
  </si>
  <si>
    <t xml:space="preserve">La Taza:  </t>
  </si>
  <si>
    <t>Lot weight, kg:</t>
  </si>
  <si>
    <t>Weight evaluated, g:</t>
  </si>
  <si>
    <t xml:space="preserve"> 5 =</t>
  </si>
  <si>
    <t>Uniformidad del oro (1-5):</t>
  </si>
  <si>
    <t xml:space="preserve">Peso, g </t>
  </si>
  <si>
    <t>Defectos, g</t>
  </si>
  <si>
    <t>Defectos, % en su criba</t>
  </si>
  <si>
    <t>Densidad de             los granos, g/cc</t>
  </si>
  <si>
    <t>Weight, g</t>
  </si>
  <si>
    <t>Defects, g</t>
  </si>
  <si>
    <t>Defects, % in screen</t>
  </si>
  <si>
    <t>Bean Density,   g/cc</t>
  </si>
  <si>
    <t>Names of Defects</t>
  </si>
  <si>
    <t>Nombres de los Defectos</t>
  </si>
  <si>
    <t>Weight in 75 cc, g | # screen</t>
  </si>
  <si>
    <t>Defects estimated after Oliver, Q® :</t>
  </si>
  <si>
    <t>Original</t>
  </si>
  <si>
    <t>&gt;</t>
  </si>
  <si>
    <t xml:space="preserve">  ^ </t>
  </si>
  <si>
    <t>Sample source (Wet Mill):</t>
  </si>
  <si>
    <t>Source ID # :</t>
  </si>
  <si>
    <t>Localidad:</t>
  </si>
  <si>
    <t>Water Activity:</t>
  </si>
  <si>
    <t>Coffee Process (L, Sem-L, No-L):</t>
  </si>
  <si>
    <t>(350-L, 400-Sem-L, 600-No-L)</t>
  </si>
  <si>
    <t xml:space="preserve">Comments: </t>
  </si>
  <si>
    <t>Moisture,  Un-hulled | Hulled:</t>
  </si>
  <si>
    <t>% | %</t>
  </si>
  <si>
    <t>Plot Name:</t>
  </si>
  <si>
    <t>Revised 2</t>
  </si>
  <si>
    <t xml:space="preserve">  # evaluated</t>
  </si>
  <si>
    <t>Process (L, Sem-L, No-L):</t>
  </si>
  <si>
    <t>Cert. (None, Org, Utz):</t>
  </si>
  <si>
    <t>Humedad, Con | Sin Cascara</t>
  </si>
  <si>
    <t>Peso en 75cc, g | # Criba</t>
  </si>
  <si>
    <t>Weight in 75cc, g | # screen</t>
  </si>
  <si>
    <t xml:space="preserve">Comentos: </t>
  </si>
  <si>
    <t>Fruit Quality:</t>
  </si>
  <si>
    <t xml:space="preserve">  Evaluadas</t>
  </si>
  <si>
    <t>Cert. (Sin, Org, Utz):</t>
  </si>
  <si>
    <t>Fuente del Café, BH:</t>
  </si>
  <si>
    <t># ID del fuente:</t>
  </si>
  <si>
    <t>Forma del café( P, C, S, F, O):</t>
  </si>
  <si>
    <t>Proceso (L, Sem-L, No-L)</t>
  </si>
  <si>
    <t>Fecha del Lote:</t>
  </si>
  <si>
    <t>Muestra tomadoa por:</t>
  </si>
  <si>
    <t>S</t>
  </si>
  <si>
    <t>SCM-357</t>
  </si>
  <si>
    <t>Rosie Alcena</t>
  </si>
  <si>
    <t>L</t>
  </si>
  <si>
    <t>Propio</t>
  </si>
  <si>
    <t>N/A</t>
  </si>
  <si>
    <t>Sin</t>
  </si>
  <si>
    <t>Alfenas</t>
  </si>
  <si>
    <t>Choc.</t>
  </si>
  <si>
    <t>Canela</t>
  </si>
  <si>
    <t>Choc, Miel</t>
  </si>
  <si>
    <t>Citrico</t>
  </si>
  <si>
    <t>Cremosa</t>
  </si>
  <si>
    <t>james</t>
  </si>
  <si>
    <t>Carlos</t>
  </si>
  <si>
    <t>Hola</t>
  </si>
  <si>
    <t>Comento 2</t>
  </si>
  <si>
    <t>Comento 3</t>
  </si>
  <si>
    <t>Severe. insect</t>
  </si>
  <si>
    <t>Light insect</t>
  </si>
  <si>
    <t>SCA Standard Sample</t>
  </si>
  <si>
    <t>Granos escalados:</t>
  </si>
  <si>
    <t xml:space="preserve"> 5 = todos igales</t>
  </si>
  <si>
    <t xml:space="preserve"> 5 = all equal</t>
  </si>
  <si>
    <t>Reserva Grade Exportable, %</t>
  </si>
  <si>
    <t xml:space="preserve"> EP Grade Exportable, %</t>
  </si>
  <si>
    <t>AP Grade Exportable, %</t>
  </si>
  <si>
    <t>Grado Reserva Exportable, %</t>
  </si>
  <si>
    <t>Grado EP Exportable, %</t>
  </si>
  <si>
    <t>Grado AP Exportable, %</t>
  </si>
  <si>
    <t>No exportable % :</t>
  </si>
  <si>
    <t>Not Exportable %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</si>
</sst>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00"/>
    <numFmt numFmtId="168" formatCode="0.0000000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CCFFFF"/>
        <bgColor indexed="41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22"/>
      </left>
      <right style="medium">
        <color theme="1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1" fillId="0" borderId="0" xfId="0" applyFont="1" applyAlignment="1">
      <alignment horizontal="right"/>
    </xf>
    <xf numFmtId="0" fontId="0" fillId="0" borderId="0" xfId="0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0" fillId="4" borderId="4" xfId="0" applyFill="1" applyBorder="1"/>
    <xf numFmtId="0" fontId="0" fillId="4" borderId="5" xfId="0" applyFill="1" applyBorder="1"/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4" borderId="6" xfId="0" applyFill="1" applyBorder="1"/>
    <xf numFmtId="0" fontId="0" fillId="3" borderId="3" xfId="0" applyFill="1" applyBorder="1" applyAlignment="1" applyProtection="1">
      <alignment horizontal="center"/>
      <protection locked="0"/>
    </xf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1" fillId="4" borderId="0" xfId="0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9" xfId="0" applyFill="1" applyBorder="1"/>
    <xf numFmtId="0" fontId="0" fillId="4" borderId="2" xfId="0" applyFill="1" applyBorder="1"/>
    <xf numFmtId="0" fontId="1" fillId="4" borderId="2" xfId="0" applyFont="1" applyFill="1" applyBorder="1" applyAlignment="1">
      <alignment horizontal="right"/>
    </xf>
    <xf numFmtId="164" fontId="1" fillId="4" borderId="10" xfId="0" applyNumberFormat="1" applyFont="1" applyFill="1" applyBorder="1" applyAlignment="1">
      <alignment horizontal="left"/>
    </xf>
    <xf numFmtId="0" fontId="0" fillId="3" borderId="11" xfId="0" applyFill="1" applyBorder="1" applyAlignment="1" applyProtection="1">
      <alignment horizontal="center"/>
      <protection locked="0"/>
    </xf>
    <xf numFmtId="0" fontId="1" fillId="0" borderId="0" xfId="0" applyFont="1"/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0" fontId="0" fillId="3" borderId="20" xfId="0" applyFill="1" applyBorder="1" applyAlignment="1" applyProtection="1">
      <alignment horizontal="center"/>
      <protection locked="0"/>
    </xf>
    <xf numFmtId="1" fontId="5" fillId="0" borderId="0" xfId="0" applyNumberFormat="1" applyFont="1"/>
    <xf numFmtId="1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9" borderId="0" xfId="0" applyFill="1"/>
    <xf numFmtId="167" fontId="0" fillId="0" borderId="0" xfId="0" applyNumberFormat="1"/>
    <xf numFmtId="0" fontId="0" fillId="11" borderId="22" xfId="0" applyFill="1" applyBorder="1"/>
    <xf numFmtId="0" fontId="0" fillId="10" borderId="21" xfId="0" applyFill="1" applyBorder="1" applyAlignment="1" applyProtection="1">
      <protection locked="0"/>
    </xf>
    <xf numFmtId="0" fontId="0" fillId="10" borderId="3" xfId="0" applyFill="1" applyBorder="1" applyAlignment="1" applyProtection="1">
      <alignment horizontal="center"/>
      <protection locked="0"/>
    </xf>
    <xf numFmtId="0" fontId="0" fillId="10" borderId="3" xfId="0" applyFill="1" applyBorder="1" applyAlignment="1" applyProtection="1">
      <alignment horizontal="center"/>
    </xf>
    <xf numFmtId="0" fontId="1" fillId="0" borderId="0" xfId="0" applyFont="1" applyAlignment="1">
      <alignment horizontal="left"/>
    </xf>
    <xf numFmtId="0" fontId="0" fillId="12" borderId="12" xfId="0" applyFill="1" applyBorder="1" applyAlignment="1" applyProtection="1">
      <alignment horizontal="center"/>
      <protection locked="0"/>
    </xf>
    <xf numFmtId="0" fontId="0" fillId="12" borderId="13" xfId="0" applyFill="1" applyBorder="1" applyAlignment="1" applyProtection="1">
      <alignment horizontal="center"/>
      <protection locked="0"/>
    </xf>
    <xf numFmtId="0" fontId="0" fillId="12" borderId="14" xfId="0" applyFill="1" applyBorder="1" applyAlignment="1" applyProtection="1">
      <alignment horizontal="center"/>
      <protection locked="0"/>
    </xf>
    <xf numFmtId="0" fontId="0" fillId="12" borderId="15" xfId="0" applyFill="1" applyBorder="1" applyAlignment="1" applyProtection="1">
      <alignment horizontal="center"/>
      <protection locked="0"/>
    </xf>
    <xf numFmtId="0" fontId="0" fillId="12" borderId="3" xfId="0" applyFill="1" applyBorder="1" applyAlignment="1" applyProtection="1">
      <alignment horizontal="center"/>
      <protection locked="0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17" xfId="0" applyFill="1" applyBorder="1" applyAlignment="1" applyProtection="1">
      <alignment horizontal="center"/>
      <protection locked="0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1" borderId="23" xfId="0" applyFill="1" applyBorder="1"/>
    <xf numFmtId="164" fontId="0" fillId="10" borderId="3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>
      <alignment horizontal="right"/>
    </xf>
    <xf numFmtId="0" fontId="0" fillId="10" borderId="22" xfId="0" applyFill="1" applyBorder="1" applyAlignment="1" applyProtection="1">
      <alignment horizontal="center"/>
      <protection locked="0"/>
    </xf>
    <xf numFmtId="0" fontId="0" fillId="10" borderId="42" xfId="0" applyFill="1" applyBorder="1" applyAlignment="1" applyProtection="1">
      <protection locked="0"/>
    </xf>
    <xf numFmtId="0" fontId="0" fillId="11" borderId="43" xfId="0" applyFill="1" applyBorder="1"/>
    <xf numFmtId="0" fontId="0" fillId="11" borderId="44" xfId="0" applyFill="1" applyBorder="1"/>
    <xf numFmtId="0" fontId="0" fillId="10" borderId="41" xfId="0" applyFill="1" applyBorder="1" applyAlignment="1" applyProtection="1">
      <alignment horizontal="center"/>
    </xf>
    <xf numFmtId="0" fontId="0" fillId="0" borderId="0" xfId="0" applyBorder="1" applyAlignment="1">
      <alignment horizontal="left"/>
    </xf>
    <xf numFmtId="0" fontId="0" fillId="10" borderId="74" xfId="0" applyFill="1" applyBorder="1" applyAlignment="1" applyProtection="1">
      <alignment horizontal="center"/>
      <protection locked="0"/>
    </xf>
    <xf numFmtId="0" fontId="1" fillId="2" borderId="2" xfId="0" applyFont="1" applyFill="1" applyBorder="1" applyAlignment="1">
      <alignment horizontal="center"/>
    </xf>
    <xf numFmtId="0" fontId="0" fillId="10" borderId="3" xfId="0" applyFill="1" applyBorder="1" applyAlignment="1" applyProtection="1">
      <alignment horizontal="left"/>
      <protection locked="0"/>
    </xf>
    <xf numFmtId="0" fontId="1" fillId="0" borderId="0" xfId="0" applyFont="1" applyAlignment="1">
      <alignment textRotation="180"/>
    </xf>
    <xf numFmtId="0" fontId="0" fillId="10" borderId="44" xfId="0" applyFill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14" borderId="38" xfId="0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right"/>
    </xf>
    <xf numFmtId="0" fontId="0" fillId="10" borderId="3" xfId="0" applyFill="1" applyBorder="1" applyAlignment="1" applyProtection="1">
      <alignment horizontal="left"/>
    </xf>
    <xf numFmtId="0" fontId="2" fillId="0" borderId="0" xfId="0" applyFont="1" applyFill="1" applyBorder="1" applyProtection="1"/>
    <xf numFmtId="0" fontId="0" fillId="10" borderId="21" xfId="0" applyFill="1" applyBorder="1" applyAlignment="1" applyProtection="1"/>
    <xf numFmtId="0" fontId="0" fillId="11" borderId="23" xfId="0" applyFill="1" applyBorder="1" applyProtection="1"/>
    <xf numFmtId="0" fontId="0" fillId="11" borderId="22" xfId="0" applyFill="1" applyBorder="1" applyProtection="1"/>
    <xf numFmtId="0" fontId="0" fillId="0" borderId="0" xfId="0" applyFill="1" applyBorder="1" applyAlignment="1" applyProtection="1">
      <alignment horizontal="left"/>
    </xf>
    <xf numFmtId="0" fontId="0" fillId="10" borderId="42" xfId="0" applyFill="1" applyBorder="1" applyAlignment="1" applyProtection="1"/>
    <xf numFmtId="0" fontId="0" fillId="11" borderId="44" xfId="0" applyFill="1" applyBorder="1" applyProtection="1"/>
    <xf numFmtId="0" fontId="0" fillId="10" borderId="44" xfId="0" applyFill="1" applyBorder="1" applyAlignment="1" applyProtection="1"/>
    <xf numFmtId="0" fontId="0" fillId="11" borderId="43" xfId="0" applyFill="1" applyBorder="1" applyProtection="1"/>
    <xf numFmtId="164" fontId="1" fillId="0" borderId="1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4" fontId="1" fillId="0" borderId="1" xfId="0" applyNumberFormat="1" applyFont="1" applyFill="1" applyBorder="1" applyAlignment="1" applyProtection="1">
      <alignment horizontal="center"/>
    </xf>
    <xf numFmtId="164" fontId="0" fillId="10" borderId="3" xfId="0" applyNumberFormat="1" applyFill="1" applyBorder="1" applyAlignment="1" applyProtection="1">
      <alignment horizontal="center"/>
    </xf>
    <xf numFmtId="0" fontId="0" fillId="10" borderId="74" xfId="0" applyFill="1" applyBorder="1" applyAlignment="1" applyProtection="1">
      <alignment horizontal="center"/>
    </xf>
    <xf numFmtId="0" fontId="0" fillId="10" borderId="22" xfId="0" applyFill="1" applyBorder="1" applyAlignment="1" applyProtection="1">
      <alignment horizontal="center"/>
    </xf>
    <xf numFmtId="0" fontId="1" fillId="2" borderId="79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/>
    </xf>
    <xf numFmtId="0" fontId="0" fillId="4" borderId="4" xfId="0" applyFill="1" applyBorder="1" applyProtection="1"/>
    <xf numFmtId="0" fontId="0" fillId="4" borderId="5" xfId="0" applyFill="1" applyBorder="1" applyProtection="1"/>
    <xf numFmtId="0" fontId="1" fillId="4" borderId="5" xfId="0" applyFont="1" applyFill="1" applyBorder="1" applyProtection="1"/>
    <xf numFmtId="0" fontId="1" fillId="4" borderId="5" xfId="0" applyFont="1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right"/>
    </xf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0" xfId="0" applyFill="1" applyBorder="1" applyProtection="1"/>
    <xf numFmtId="0" fontId="0" fillId="4" borderId="8" xfId="0" applyFill="1" applyBorder="1" applyProtection="1"/>
    <xf numFmtId="0" fontId="0" fillId="0" borderId="0" xfId="0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</xf>
    <xf numFmtId="0" fontId="1" fillId="4" borderId="0" xfId="0" applyFont="1" applyFill="1" applyBorder="1" applyAlignment="1" applyProtection="1">
      <alignment horizontal="right"/>
    </xf>
    <xf numFmtId="164" fontId="1" fillId="4" borderId="8" xfId="0" applyNumberFormat="1" applyFont="1" applyFill="1" applyBorder="1" applyAlignment="1" applyProtection="1">
      <alignment horizontal="left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0" fillId="4" borderId="9" xfId="0" applyFill="1" applyBorder="1" applyProtection="1"/>
    <xf numFmtId="0" fontId="0" fillId="4" borderId="2" xfId="0" applyFill="1" applyBorder="1" applyProtection="1"/>
    <xf numFmtId="0" fontId="1" fillId="4" borderId="2" xfId="0" applyFont="1" applyFill="1" applyBorder="1" applyAlignment="1" applyProtection="1">
      <alignment horizontal="right"/>
    </xf>
    <xf numFmtId="164" fontId="1" fillId="4" borderId="10" xfId="0" applyNumberFormat="1" applyFont="1" applyFill="1" applyBorder="1" applyAlignment="1" applyProtection="1">
      <alignment horizontal="left"/>
    </xf>
    <xf numFmtId="0" fontId="0" fillId="3" borderId="11" xfId="0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0" xfId="0" applyFont="1" applyAlignment="1" applyProtection="1">
      <alignment horizontal="right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right"/>
    </xf>
    <xf numFmtId="0" fontId="0" fillId="5" borderId="3" xfId="0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" fillId="6" borderId="11" xfId="0" applyFont="1" applyFill="1" applyBorder="1" applyAlignment="1" applyProtection="1">
      <alignment horizontal="center" textRotation="90" wrapText="1"/>
    </xf>
    <xf numFmtId="0" fontId="1" fillId="6" borderId="11" xfId="0" applyFont="1" applyFill="1" applyBorder="1" applyAlignment="1" applyProtection="1">
      <alignment horizontal="center" wrapText="1"/>
    </xf>
    <xf numFmtId="0" fontId="1" fillId="7" borderId="11" xfId="0" applyFont="1" applyFill="1" applyBorder="1" applyAlignment="1" applyProtection="1">
      <alignment horizontal="center" textRotation="90" wrapText="1"/>
    </xf>
    <xf numFmtId="0" fontId="1" fillId="8" borderId="11" xfId="0" applyFont="1" applyFill="1" applyBorder="1" applyAlignment="1" applyProtection="1">
      <alignment horizontal="center" textRotation="90" wrapText="1"/>
    </xf>
    <xf numFmtId="0" fontId="1" fillId="7" borderId="57" xfId="0" applyFont="1" applyFill="1" applyBorder="1" applyAlignment="1" applyProtection="1">
      <alignment horizontal="center" textRotation="90" wrapText="1"/>
    </xf>
    <xf numFmtId="0" fontId="1" fillId="0" borderId="39" xfId="0" applyFont="1" applyFill="1" applyBorder="1" applyAlignment="1" applyProtection="1">
      <alignment horizontal="right" textRotation="90" wrapText="1"/>
    </xf>
    <xf numFmtId="0" fontId="1" fillId="0" borderId="0" xfId="0" applyFont="1" applyProtection="1"/>
    <xf numFmtId="164" fontId="0" fillId="0" borderId="0" xfId="0" applyNumberFormat="1" applyBorder="1" applyAlignment="1" applyProtection="1">
      <alignment horizontal="center"/>
    </xf>
    <xf numFmtId="2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1" fontId="4" fillId="0" borderId="0" xfId="0" applyNumberFormat="1" applyFont="1" applyProtection="1"/>
    <xf numFmtId="0" fontId="0" fillId="3" borderId="20" xfId="0" applyFill="1" applyBorder="1" applyAlignment="1" applyProtection="1">
      <alignment horizontal="center"/>
    </xf>
    <xf numFmtId="1" fontId="5" fillId="0" borderId="0" xfId="0" applyNumberFormat="1" applyFont="1" applyProtection="1"/>
    <xf numFmtId="2" fontId="0" fillId="0" borderId="0" xfId="0" applyNumberFormat="1" applyBorder="1" applyAlignment="1" applyProtection="1">
      <alignment horizontal="center"/>
    </xf>
    <xf numFmtId="1" fontId="5" fillId="0" borderId="0" xfId="0" applyNumberFormat="1" applyFont="1" applyAlignment="1" applyProtection="1">
      <alignment horizontal="left"/>
    </xf>
    <xf numFmtId="0" fontId="0" fillId="0" borderId="0" xfId="0" applyFont="1" applyBorder="1" applyAlignment="1" applyProtection="1">
      <alignment horizontal="right"/>
    </xf>
    <xf numFmtId="2" fontId="0" fillId="0" borderId="0" xfId="0" applyNumberFormat="1" applyAlignment="1" applyProtection="1">
      <alignment horizontal="left"/>
    </xf>
    <xf numFmtId="1" fontId="4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0" fontId="0" fillId="0" borderId="0" xfId="0" applyFont="1" applyProtection="1"/>
    <xf numFmtId="0" fontId="0" fillId="0" borderId="66" xfId="0" applyBorder="1" applyProtection="1"/>
    <xf numFmtId="0" fontId="0" fillId="0" borderId="67" xfId="0" applyBorder="1" applyProtection="1"/>
    <xf numFmtId="0" fontId="0" fillId="0" borderId="68" xfId="0" applyBorder="1" applyProtection="1"/>
    <xf numFmtId="0" fontId="4" fillId="0" borderId="0" xfId="0" applyFont="1" applyBorder="1" applyProtection="1"/>
    <xf numFmtId="0" fontId="5" fillId="0" borderId="0" xfId="0" applyFont="1" applyBorder="1" applyProtection="1"/>
    <xf numFmtId="0" fontId="0" fillId="0" borderId="69" xfId="0" applyBorder="1" applyProtection="1"/>
    <xf numFmtId="0" fontId="0" fillId="0" borderId="70" xfId="0" applyBorder="1" applyProtection="1"/>
    <xf numFmtId="0" fontId="4" fillId="0" borderId="0" xfId="0" applyFont="1" applyFill="1" applyBorder="1" applyProtection="1"/>
    <xf numFmtId="0" fontId="0" fillId="0" borderId="71" xfId="0" applyBorder="1" applyProtection="1"/>
    <xf numFmtId="0" fontId="0" fillId="0" borderId="72" xfId="0" applyBorder="1" applyProtection="1"/>
    <xf numFmtId="0" fontId="0" fillId="0" borderId="73" xfId="0" applyBorder="1" applyProtection="1"/>
    <xf numFmtId="0" fontId="0" fillId="5" borderId="3" xfId="0" applyFill="1" applyBorder="1" applyProtection="1"/>
    <xf numFmtId="0" fontId="0" fillId="0" borderId="0" xfId="0" applyAlignment="1" applyProtection="1">
      <alignment horizontal="right"/>
    </xf>
    <xf numFmtId="0" fontId="0" fillId="11" borderId="25" xfId="0" applyFill="1" applyBorder="1" applyProtection="1"/>
    <xf numFmtId="0" fontId="0" fillId="11" borderId="26" xfId="0" applyFill="1" applyBorder="1" applyProtection="1"/>
    <xf numFmtId="0" fontId="0" fillId="11" borderId="27" xfId="0" applyFill="1" applyBorder="1" applyProtection="1"/>
    <xf numFmtId="0" fontId="0" fillId="0" borderId="2" xfId="0" applyFont="1" applyBorder="1" applyProtection="1"/>
    <xf numFmtId="164" fontId="0" fillId="0" borderId="2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/>
    <xf numFmtId="0" fontId="1" fillId="0" borderId="2" xfId="0" applyFont="1" applyBorder="1" applyProtection="1"/>
    <xf numFmtId="0" fontId="1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Font="1" applyBorder="1" applyAlignment="1" applyProtection="1">
      <alignment horizontal="right"/>
    </xf>
    <xf numFmtId="0" fontId="0" fillId="12" borderId="38" xfId="0" applyFill="1" applyBorder="1" applyProtection="1"/>
    <xf numFmtId="0" fontId="0" fillId="12" borderId="75" xfId="0" applyFill="1" applyBorder="1" applyProtection="1"/>
    <xf numFmtId="0" fontId="0" fillId="12" borderId="76" xfId="0" applyFill="1" applyBorder="1" applyProtection="1"/>
    <xf numFmtId="0" fontId="0" fillId="12" borderId="77" xfId="0" applyFill="1" applyBorder="1" applyProtection="1"/>
    <xf numFmtId="0" fontId="0" fillId="12" borderId="78" xfId="0" applyFill="1" applyBorder="1" applyProtection="1"/>
    <xf numFmtId="0" fontId="0" fillId="0" borderId="64" xfId="0" applyBorder="1" applyProtection="1"/>
    <xf numFmtId="165" fontId="6" fillId="5" borderId="3" xfId="0" applyNumberFormat="1" applyFont="1" applyFill="1" applyBorder="1" applyProtection="1"/>
    <xf numFmtId="166" fontId="0" fillId="0" borderId="0" xfId="0" applyNumberFormat="1" applyProtection="1"/>
    <xf numFmtId="164" fontId="0" fillId="0" borderId="0" xfId="0" applyNumberFormat="1" applyFont="1" applyFill="1" applyBorder="1" applyAlignment="1" applyProtection="1">
      <alignment horizontal="right"/>
    </xf>
    <xf numFmtId="2" fontId="0" fillId="0" borderId="0" xfId="0" applyNumberFormat="1" applyFont="1" applyBorder="1" applyAlignment="1" applyProtection="1">
      <alignment horizontal="center"/>
    </xf>
    <xf numFmtId="0" fontId="0" fillId="0" borderId="34" xfId="0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0" fillId="0" borderId="0" xfId="0" applyBorder="1" applyAlignment="1" applyProtection="1">
      <alignment horizontal="right"/>
    </xf>
    <xf numFmtId="165" fontId="6" fillId="5" borderId="37" xfId="0" applyNumberFormat="1" applyFont="1" applyFill="1" applyBorder="1" applyProtection="1"/>
    <xf numFmtId="0" fontId="0" fillId="0" borderId="24" xfId="0" applyBorder="1" applyProtection="1"/>
    <xf numFmtId="168" fontId="6" fillId="13" borderId="37" xfId="0" applyNumberFormat="1" applyFont="1" applyFill="1" applyBorder="1" applyProtection="1"/>
    <xf numFmtId="0" fontId="0" fillId="0" borderId="29" xfId="0" applyFill="1" applyBorder="1" applyProtection="1"/>
    <xf numFmtId="0" fontId="0" fillId="0" borderId="31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0" fillId="0" borderId="40" xfId="0" applyBorder="1" applyProtection="1"/>
    <xf numFmtId="0" fontId="0" fillId="0" borderId="40" xfId="0" applyBorder="1" applyAlignment="1" applyProtection="1">
      <alignment horizontal="center"/>
    </xf>
    <xf numFmtId="0" fontId="0" fillId="11" borderId="61" xfId="0" applyFill="1" applyBorder="1" applyProtection="1"/>
    <xf numFmtId="0" fontId="0" fillId="11" borderId="62" xfId="0" applyFill="1" applyBorder="1" applyProtection="1"/>
    <xf numFmtId="0" fontId="0" fillId="11" borderId="58" xfId="0" applyFill="1" applyBorder="1" applyProtection="1"/>
    <xf numFmtId="0" fontId="0" fillId="0" borderId="63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0" fontId="0" fillId="4" borderId="45" xfId="0" applyFill="1" applyBorder="1" applyProtection="1"/>
    <xf numFmtId="0" fontId="0" fillId="4" borderId="46" xfId="0" applyFill="1" applyBorder="1" applyProtection="1"/>
    <xf numFmtId="0" fontId="1" fillId="4" borderId="46" xfId="0" applyFont="1" applyFill="1" applyBorder="1" applyProtection="1"/>
    <xf numFmtId="0" fontId="1" fillId="4" borderId="46" xfId="0" applyFont="1" applyFill="1" applyBorder="1" applyAlignment="1" applyProtection="1">
      <alignment horizontal="center"/>
    </xf>
    <xf numFmtId="0" fontId="0" fillId="4" borderId="46" xfId="0" applyFill="1" applyBorder="1" applyAlignment="1" applyProtection="1">
      <alignment horizontal="right"/>
    </xf>
    <xf numFmtId="0" fontId="0" fillId="4" borderId="47" xfId="0" applyFill="1" applyBorder="1" applyProtection="1"/>
    <xf numFmtId="0" fontId="0" fillId="4" borderId="80" xfId="0" applyFill="1" applyBorder="1" applyProtection="1"/>
    <xf numFmtId="0" fontId="0" fillId="0" borderId="81" xfId="0" applyBorder="1" applyProtection="1"/>
    <xf numFmtId="164" fontId="1" fillId="4" borderId="80" xfId="0" applyNumberFormat="1" applyFont="1" applyFill="1" applyBorder="1" applyAlignment="1" applyProtection="1">
      <alignment horizontal="left"/>
    </xf>
    <xf numFmtId="0" fontId="0" fillId="4" borderId="82" xfId="0" applyFill="1" applyBorder="1" applyProtection="1"/>
    <xf numFmtId="0" fontId="0" fillId="4" borderId="79" xfId="0" applyFill="1" applyBorder="1" applyProtection="1"/>
    <xf numFmtId="0" fontId="1" fillId="4" borderId="79" xfId="0" applyFont="1" applyFill="1" applyBorder="1" applyAlignment="1" applyProtection="1">
      <alignment horizontal="right"/>
    </xf>
    <xf numFmtId="164" fontId="1" fillId="4" borderId="83" xfId="0" applyNumberFormat="1" applyFont="1" applyFill="1" applyBorder="1" applyAlignment="1" applyProtection="1">
      <alignment horizontal="left"/>
    </xf>
    <xf numFmtId="0" fontId="0" fillId="3" borderId="48" xfId="0" applyFill="1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right"/>
    </xf>
    <xf numFmtId="0" fontId="0" fillId="3" borderId="41" xfId="0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0" fontId="1" fillId="6" borderId="48" xfId="0" applyFont="1" applyFill="1" applyBorder="1" applyAlignment="1" applyProtection="1">
      <alignment horizontal="center" textRotation="90" wrapText="1"/>
    </xf>
    <xf numFmtId="0" fontId="1" fillId="6" borderId="48" xfId="0" applyFont="1" applyFill="1" applyBorder="1" applyAlignment="1" applyProtection="1">
      <alignment horizontal="center" wrapText="1"/>
    </xf>
    <xf numFmtId="0" fontId="1" fillId="7" borderId="48" xfId="0" applyFont="1" applyFill="1" applyBorder="1" applyAlignment="1" applyProtection="1">
      <alignment horizontal="center" textRotation="90" wrapText="1"/>
    </xf>
    <xf numFmtId="0" fontId="1" fillId="8" borderId="48" xfId="0" applyFont="1" applyFill="1" applyBorder="1" applyAlignment="1" applyProtection="1">
      <alignment horizontal="center" textRotation="90" wrapText="1"/>
    </xf>
    <xf numFmtId="0" fontId="1" fillId="0" borderId="28" xfId="0" applyFont="1" applyFill="1" applyBorder="1" applyAlignment="1" applyProtection="1">
      <alignment horizontal="right" textRotation="90" wrapText="1"/>
    </xf>
    <xf numFmtId="0" fontId="0" fillId="12" borderId="49" xfId="0" applyFill="1" applyBorder="1" applyAlignment="1" applyProtection="1">
      <alignment horizontal="center"/>
    </xf>
    <xf numFmtId="0" fontId="0" fillId="12" borderId="50" xfId="0" applyFill="1" applyBorder="1" applyAlignment="1" applyProtection="1">
      <alignment horizontal="center"/>
    </xf>
    <xf numFmtId="0" fontId="0" fillId="12" borderId="51" xfId="0" applyFill="1" applyBorder="1" applyAlignment="1" applyProtection="1">
      <alignment horizontal="center"/>
    </xf>
    <xf numFmtId="0" fontId="0" fillId="12" borderId="52" xfId="0" applyFill="1" applyBorder="1" applyAlignment="1" applyProtection="1">
      <alignment horizontal="center"/>
    </xf>
    <xf numFmtId="0" fontId="0" fillId="12" borderId="41" xfId="0" applyFill="1" applyBorder="1" applyAlignment="1" applyProtection="1">
      <alignment horizontal="center"/>
    </xf>
    <xf numFmtId="0" fontId="0" fillId="12" borderId="53" xfId="0" applyFill="1" applyBorder="1" applyAlignment="1" applyProtection="1">
      <alignment horizontal="center"/>
    </xf>
    <xf numFmtId="0" fontId="0" fillId="12" borderId="54" xfId="0" applyFill="1" applyBorder="1" applyAlignment="1" applyProtection="1">
      <alignment horizontal="center"/>
    </xf>
    <xf numFmtId="0" fontId="0" fillId="12" borderId="55" xfId="0" applyFill="1" applyBorder="1" applyAlignment="1" applyProtection="1">
      <alignment horizontal="center"/>
    </xf>
    <xf numFmtId="0" fontId="0" fillId="12" borderId="56" xfId="0" applyFill="1" applyBorder="1" applyAlignment="1" applyProtection="1">
      <alignment horizontal="center"/>
    </xf>
    <xf numFmtId="0" fontId="0" fillId="3" borderId="84" xfId="0" applyFill="1" applyBorder="1" applyAlignment="1" applyProtection="1">
      <alignment horizontal="center"/>
    </xf>
    <xf numFmtId="2" fontId="0" fillId="0" borderId="0" xfId="0" applyNumberFormat="1" applyBorder="1" applyAlignment="1" applyProtection="1">
      <alignment horizontal="left"/>
    </xf>
    <xf numFmtId="164" fontId="0" fillId="0" borderId="85" xfId="0" applyNumberFormat="1" applyBorder="1" applyAlignment="1" applyProtection="1">
      <alignment horizontal="center"/>
    </xf>
    <xf numFmtId="0" fontId="1" fillId="0" borderId="85" xfId="0" applyFont="1" applyBorder="1" applyProtection="1"/>
    <xf numFmtId="0" fontId="0" fillId="0" borderId="85" xfId="0" applyBorder="1" applyProtection="1"/>
    <xf numFmtId="0" fontId="0" fillId="0" borderId="85" xfId="0" applyFont="1" applyBorder="1" applyAlignment="1" applyProtection="1">
      <alignment horizontal="right"/>
    </xf>
    <xf numFmtId="164" fontId="0" fillId="0" borderId="85" xfId="0" applyNumberFormat="1" applyBorder="1" applyProtection="1"/>
    <xf numFmtId="0" fontId="0" fillId="0" borderId="85" xfId="0" applyBorder="1" applyAlignment="1" applyProtection="1">
      <alignment horizontal="center"/>
    </xf>
    <xf numFmtId="0" fontId="0" fillId="0" borderId="86" xfId="0" applyBorder="1" applyProtection="1"/>
    <xf numFmtId="0" fontId="7" fillId="0" borderId="0" xfId="0" applyFont="1" applyProtection="1"/>
    <xf numFmtId="0" fontId="7" fillId="0" borderId="40" xfId="0" applyFont="1" applyBorder="1" applyProtection="1"/>
    <xf numFmtId="0" fontId="0" fillId="0" borderId="59" xfId="0" applyBorder="1" applyProtection="1"/>
    <xf numFmtId="0" fontId="0" fillId="0" borderId="59" xfId="0" applyBorder="1" applyAlignment="1" applyProtection="1">
      <alignment horizontal="center"/>
    </xf>
    <xf numFmtId="0" fontId="0" fillId="0" borderId="60" xfId="0" applyBorder="1" applyProtection="1"/>
    <xf numFmtId="0" fontId="0" fillId="0" borderId="0" xfId="0" applyFill="1" applyProtection="1"/>
    <xf numFmtId="164" fontId="0" fillId="0" borderId="32" xfId="0" applyNumberFormat="1" applyBorder="1" applyAlignment="1" applyProtection="1">
      <alignment horizontal="center"/>
    </xf>
    <xf numFmtId="0" fontId="1" fillId="0" borderId="32" xfId="0" applyFont="1" applyBorder="1" applyProtection="1"/>
    <xf numFmtId="0" fontId="0" fillId="0" borderId="32" xfId="0" applyFont="1" applyBorder="1" applyAlignment="1" applyProtection="1">
      <alignment horizontal="right"/>
    </xf>
    <xf numFmtId="164" fontId="0" fillId="0" borderId="32" xfId="0" applyNumberFormat="1" applyBorder="1" applyProtection="1"/>
    <xf numFmtId="0" fontId="0" fillId="0" borderId="64" xfId="0" applyBorder="1" applyAlignment="1" applyProtection="1">
      <alignment horizontal="center"/>
    </xf>
    <xf numFmtId="0" fontId="0" fillId="0" borderId="65" xfId="0" applyBorder="1" applyProtection="1"/>
    <xf numFmtId="0" fontId="0" fillId="0" borderId="0" xfId="0" applyFont="1" applyFill="1" applyBorder="1" applyProtection="1"/>
    <xf numFmtId="164" fontId="0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Fill="1" applyBorder="1" applyProtection="1"/>
    <xf numFmtId="0" fontId="1" fillId="0" borderId="0" xfId="0" applyFont="1" applyFill="1" applyBorder="1" applyProtection="1"/>
    <xf numFmtId="2" fontId="0" fillId="0" borderId="0" xfId="0" applyNumberFormat="1" applyFill="1" applyBorder="1" applyAlignment="1" applyProtection="1">
      <alignment horizontal="center"/>
    </xf>
    <xf numFmtId="165" fontId="6" fillId="0" borderId="0" xfId="0" applyNumberFormat="1" applyFont="1" applyFill="1" applyBorder="1" applyProtection="1"/>
    <xf numFmtId="164" fontId="0" fillId="0" borderId="0" xfId="0" applyNumberFormat="1" applyFill="1" applyBorder="1" applyAlignment="1" applyProtection="1">
      <alignment horizontal="center"/>
    </xf>
    <xf numFmtId="166" fontId="0" fillId="0" borderId="0" xfId="0" applyNumberFormat="1" applyFill="1" applyBorder="1" applyProtection="1"/>
    <xf numFmtId="2" fontId="0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168" fontId="6" fillId="0" borderId="0" xfId="0" applyNumberFormat="1" applyFont="1" applyFill="1" applyBorder="1" applyProtection="1"/>
    <xf numFmtId="0" fontId="0" fillId="0" borderId="0" xfId="0" applyFill="1" applyBorder="1" applyAlignment="1" applyProtection="1"/>
    <xf numFmtId="164" fontId="1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textRotation="90" wrapText="1"/>
    </xf>
    <xf numFmtId="0" fontId="1" fillId="0" borderId="0" xfId="0" applyFont="1" applyFill="1" applyBorder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right" textRotation="90" wrapText="1"/>
    </xf>
    <xf numFmtId="2" fontId="0" fillId="0" borderId="0" xfId="0" applyNumberForma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0" fillId="10" borderId="3" xfId="0" quotePrefix="1" applyFill="1" applyBorder="1" applyAlignment="1" applyProtection="1">
      <alignment horizontal="left"/>
      <protection locked="0"/>
    </xf>
    <xf numFmtId="0" fontId="0" fillId="15" borderId="0" xfId="0" applyFill="1" applyProtection="1"/>
    <xf numFmtId="0" fontId="1" fillId="0" borderId="39" xfId="0" applyFont="1" applyFill="1" applyBorder="1" applyAlignment="1" applyProtection="1">
      <alignment horizontal="center" textRotation="90" wrapText="1"/>
    </xf>
    <xf numFmtId="0" fontId="0" fillId="3" borderId="41" xfId="0" applyFont="1" applyFill="1" applyBorder="1" applyAlignment="1" applyProtection="1">
      <alignment horizontal="left"/>
    </xf>
    <xf numFmtId="15" fontId="0" fillId="10" borderId="21" xfId="0" applyNumberFormat="1" applyFill="1" applyBorder="1" applyAlignment="1" applyProtection="1">
      <alignment horizontal="left"/>
    </xf>
    <xf numFmtId="0" fontId="0" fillId="0" borderId="22" xfId="0" applyBorder="1" applyAlignment="1" applyProtection="1">
      <alignment horizontal="left"/>
    </xf>
    <xf numFmtId="15" fontId="0" fillId="10" borderId="42" xfId="0" applyNumberFormat="1" applyFill="1" applyBorder="1" applyAlignment="1" applyProtection="1">
      <alignment horizontal="left"/>
    </xf>
    <xf numFmtId="0" fontId="0" fillId="0" borderId="43" xfId="0" applyBorder="1" applyAlignment="1" applyProtection="1">
      <alignment horizontal="left"/>
    </xf>
    <xf numFmtId="15" fontId="0" fillId="10" borderId="21" xfId="0" applyNumberFormat="1" applyFill="1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3" borderId="3" xfId="0" applyFont="1" applyFill="1" applyBorder="1" applyAlignment="1" applyProtection="1">
      <alignment horizontal="left"/>
      <protection locked="0"/>
    </xf>
    <xf numFmtId="15" fontId="0" fillId="0" borderId="0" xfId="0" applyNumberForma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  <xf numFmtId="0" fontId="0" fillId="0" borderId="2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D8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5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CFFCC"/>
      <rgbColor rgb="00FFFF99"/>
      <rgbColor rgb="0099CCFF"/>
      <rgbColor rgb="00FF99CC"/>
      <rgbColor rgb="00CC99FF"/>
      <rgbColor rgb="00FFDFD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99"/>
      <color rgb="FFCCECFF"/>
      <color rgb="FFFFFF99"/>
      <color rgb="FFCC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1773293370428"/>
          <c:y val="5.6701102283724485E-2"/>
          <c:w val="0.83738663963555493"/>
          <c:h val="0.78092881781675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Plantilla!$AJ$68</c:f>
              <c:strCache>
                <c:ptCount val="1"/>
                <c:pt idx="0">
                  <c:v>Granos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Plantilla!$B$24:$B$29</c:f>
              <c:strCache>
                <c:ptCount val="6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F</c:v>
                </c:pt>
              </c:strCache>
            </c:strRef>
          </c:cat>
          <c:val>
            <c:numRef>
              <c:f>Plantilla!$D$24:$D$29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E-43AC-9D47-D4AE4FBFAC48}"/>
            </c:ext>
          </c:extLst>
        </c:ser>
        <c:ser>
          <c:idx val="1"/>
          <c:order val="1"/>
          <c:tx>
            <c:strRef>
              <c:f>Plantilla!$AL$68</c:f>
              <c:strCache>
                <c:ptCount val="1"/>
                <c:pt idx="0">
                  <c:v>Defectos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Plantilla!$B$24:$B$29</c:f>
              <c:strCache>
                <c:ptCount val="6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F</c:v>
                </c:pt>
              </c:strCache>
            </c:strRef>
          </c:cat>
          <c:val>
            <c:numRef>
              <c:f>Plantilla!$F$24:$F$29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E-43AC-9D47-D4AE4FBF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84605696"/>
        <c:axId val="384605304"/>
      </c:barChart>
      <c:catAx>
        <c:axId val="384605696"/>
        <c:scaling>
          <c:orientation val="minMax"/>
        </c:scaling>
        <c:delete val="0"/>
        <c:axPos val="b"/>
        <c:title>
          <c:tx>
            <c:strRef>
              <c:f>Plantilla!$E$96</c:f>
              <c:strCache>
                <c:ptCount val="1"/>
                <c:pt idx="0">
                  <c:v>#¡DIV/0!</c:v>
                </c:pt>
              </c:strCache>
            </c:strRef>
          </c:tx>
          <c:layout>
            <c:manualLayout>
              <c:xMode val="edge"/>
              <c:yMode val="edge"/>
              <c:x val="0.19042475100117034"/>
              <c:y val="0.9103877305985446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4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8460530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84605304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Plantilla!$AJ$66</c:f>
              <c:strCache>
                <c:ptCount val="1"/>
                <c:pt idx="0">
                  <c:v>Porcentaje por peso</c:v>
                </c:pt>
              </c:strCache>
            </c:strRef>
          </c:tx>
          <c:layout>
            <c:manualLayout>
              <c:xMode val="edge"/>
              <c:yMode val="edge"/>
              <c:x val="3.3434675266755372E-2"/>
              <c:y val="0.1932992123308789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4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MX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84605696"/>
        <c:crosses val="autoZero"/>
        <c:crossBetween val="between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060842263519207"/>
          <c:y val="2.8350551141862242E-2"/>
          <c:w val="0.14893628073372847"/>
          <c:h val="0.14690740137146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Plantilla!$AJ$60</c:f>
          <c:strCache>
            <c:ptCount val="1"/>
            <c:pt idx="0">
              <c:v>Cuenta de Defectos</c:v>
            </c:pt>
          </c:strCache>
        </c:strRef>
      </c:tx>
      <c:layout>
        <c:manualLayout>
          <c:xMode val="edge"/>
          <c:yMode val="edge"/>
          <c:x val="0.28598156941951064"/>
          <c:y val="1.55039150918400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7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013648293963255"/>
          <c:y val="0.12561529048733772"/>
          <c:w val="0.57260431231142839"/>
          <c:h val="0.81431128963609278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6FF"/>
              </a:solidFill>
              <a:ln>
                <a:noFill/>
                <a:prstDash val="solid"/>
              </a:ln>
            </c:spPr>
          </c:marker>
          <c:cat>
            <c:strRef>
              <c:f>Plantilla!$AJ$25:$AJ$56</c:f>
              <c:strCache>
                <c:ptCount val="32"/>
                <c:pt idx="1">
                  <c:v>Broca Severa</c:v>
                </c:pt>
                <c:pt idx="3">
                  <c:v>Broca</c:v>
                </c:pt>
                <c:pt idx="5">
                  <c:v>Negro</c:v>
                </c:pt>
                <c:pt idx="7">
                  <c:v>Negro Parcial</c:v>
                </c:pt>
                <c:pt idx="9">
                  <c:v>Agrio</c:v>
                </c:pt>
                <c:pt idx="11">
                  <c:v>Agrio parcial</c:v>
                </c:pt>
                <c:pt idx="13">
                  <c:v>Daño</c:v>
                </c:pt>
                <c:pt idx="15">
                  <c:v>Blanco</c:v>
                </c:pt>
                <c:pt idx="17">
                  <c:v>Concha</c:v>
                </c:pt>
                <c:pt idx="19">
                  <c:v>Daño de hongos</c:v>
                </c:pt>
                <c:pt idx="21">
                  <c:v>Inmaduro</c:v>
                </c:pt>
                <c:pt idx="23">
                  <c:v>Arrugado</c:v>
                </c:pt>
                <c:pt idx="25">
                  <c:v>Cereza Seca</c:v>
                </c:pt>
                <c:pt idx="27">
                  <c:v>Pergamino</c:v>
                </c:pt>
                <c:pt idx="29">
                  <c:v>Cascara o pulpa seca</c:v>
                </c:pt>
                <c:pt idx="31">
                  <c:v>Materia extraña</c:v>
                </c:pt>
              </c:strCache>
            </c:strRef>
          </c:cat>
          <c:val>
            <c:numRef>
              <c:f>Plantilla!$AI$25:$AI$56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E-4FD7-8A26-0BD237539361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strRef>
              <c:f>Plantilla!$AJ$25:$AJ$56</c:f>
              <c:strCache>
                <c:ptCount val="32"/>
                <c:pt idx="1">
                  <c:v>Broca Severa</c:v>
                </c:pt>
                <c:pt idx="3">
                  <c:v>Broca</c:v>
                </c:pt>
                <c:pt idx="5">
                  <c:v>Negro</c:v>
                </c:pt>
                <c:pt idx="7">
                  <c:v>Negro Parcial</c:v>
                </c:pt>
                <c:pt idx="9">
                  <c:v>Agrio</c:v>
                </c:pt>
                <c:pt idx="11">
                  <c:v>Agrio parcial</c:v>
                </c:pt>
                <c:pt idx="13">
                  <c:v>Daño</c:v>
                </c:pt>
                <c:pt idx="15">
                  <c:v>Blanco</c:v>
                </c:pt>
                <c:pt idx="17">
                  <c:v>Concha</c:v>
                </c:pt>
                <c:pt idx="19">
                  <c:v>Daño de hongos</c:v>
                </c:pt>
                <c:pt idx="21">
                  <c:v>Inmaduro</c:v>
                </c:pt>
                <c:pt idx="23">
                  <c:v>Arrugado</c:v>
                </c:pt>
                <c:pt idx="25">
                  <c:v>Cereza Seca</c:v>
                </c:pt>
                <c:pt idx="27">
                  <c:v>Pergamino</c:v>
                </c:pt>
                <c:pt idx="29">
                  <c:v>Cascara o pulpa seca</c:v>
                </c:pt>
                <c:pt idx="31">
                  <c:v>Materia extraña</c:v>
                </c:pt>
              </c:strCache>
            </c:strRef>
          </c:cat>
          <c:val>
            <c:numRef>
              <c:f>Plantilla!$AH$25:$AH$56</c:f>
              <c:numCache>
                <c:formatCode>General</c:formatCode>
                <c:ptCount val="32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 formatCode="0">
                  <c:v>0</c:v>
                </c:pt>
                <c:pt idx="9">
                  <c:v>0</c:v>
                </c:pt>
                <c:pt idx="10" formatCode="0">
                  <c:v>0</c:v>
                </c:pt>
                <c:pt idx="11">
                  <c:v>0</c:v>
                </c:pt>
                <c:pt idx="12" formatCode="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>
                  <c:v>0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E-4FD7-8A26-0BD23753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68176"/>
        <c:axId val="633468568"/>
      </c:radarChart>
      <c:catAx>
        <c:axId val="6334681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633468568"/>
        <c:crossesAt val="0"/>
        <c:auto val="0"/>
        <c:lblAlgn val="ctr"/>
        <c:lblOffset val="100"/>
        <c:noMultiLvlLbl val="0"/>
      </c:catAx>
      <c:valAx>
        <c:axId val="633468568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633468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Coffee Bean weight with respect to Screen Size</a:t>
            </a:r>
          </a:p>
        </c:rich>
      </c:tx>
      <c:layout>
        <c:manualLayout>
          <c:xMode val="edge"/>
          <c:yMode val="edge"/>
          <c:x val="0.11578959271134119"/>
          <c:y val="3.8062348045435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22837408827261346"/>
          <c:w val="0.78105343447104691"/>
          <c:h val="0.5328728726360980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2.4112943776764748E-2"/>
                  <c:y val="0.2099188985459862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MX"/>
                </a:p>
              </c:txPr>
            </c:trendlineLbl>
          </c:trendline>
          <c:xVal>
            <c:numRef>
              <c:f>'Bean Weight'!$A$6:$A$13</c:f>
              <c:numCache>
                <c:formatCode>General</c:formatCode>
                <c:ptCount val="8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</c:numCache>
            </c:numRef>
          </c:xVal>
          <c:yVal>
            <c:numRef>
              <c:f>'Bean Weight'!$B$6:$B$13</c:f>
              <c:numCache>
                <c:formatCode>General</c:formatCode>
                <c:ptCount val="8"/>
                <c:pt idx="0">
                  <c:v>0.19230769230769201</c:v>
                </c:pt>
                <c:pt idx="1">
                  <c:v>0.17466410748560501</c:v>
                </c:pt>
                <c:pt idx="2">
                  <c:v>0.15849056603773601</c:v>
                </c:pt>
                <c:pt idx="3">
                  <c:v>0.139013452914798</c:v>
                </c:pt>
                <c:pt idx="4" formatCode="0.000000">
                  <c:v>0.12160000000000001</c:v>
                </c:pt>
                <c:pt idx="5" formatCode="0.000000">
                  <c:v>0.10400000000000001</c:v>
                </c:pt>
                <c:pt idx="6" formatCode="0.000000">
                  <c:v>8.6400000000000005E-2</c:v>
                </c:pt>
                <c:pt idx="7" formatCode="0.000000">
                  <c:v>6.88E-2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2-49E8-88AF-796664AA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69352"/>
        <c:axId val="384606088"/>
      </c:scatterChart>
      <c:valAx>
        <c:axId val="633469352"/>
        <c:scaling>
          <c:orientation val="minMax"/>
          <c:max val="19.5"/>
          <c:min val="11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Screen Size</a:t>
                </a:r>
              </a:p>
            </c:rich>
          </c:tx>
          <c:layout>
            <c:manualLayout>
              <c:xMode val="edge"/>
              <c:yMode val="edge"/>
              <c:x val="0.46526363616738914"/>
              <c:y val="0.8685135781276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84606088"/>
        <c:crossesAt val="0"/>
        <c:crossBetween val="midCat"/>
      </c:valAx>
      <c:valAx>
        <c:axId val="384606088"/>
        <c:scaling>
          <c:orientation val="minMax"/>
          <c:max val="0.2"/>
          <c:min val="0.0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Bean weight in grams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249135369024669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63346935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114300</xdr:rowOff>
    </xdr:from>
    <xdr:to>
      <xdr:col>30</xdr:col>
      <xdr:colOff>28575</xdr:colOff>
      <xdr:row>19</xdr:row>
      <xdr:rowOff>95250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38100" y="1924050"/>
          <a:ext cx="12277725" cy="1276350"/>
        </a:xfrm>
        <a:prstGeom prst="rect">
          <a:avLst/>
        </a:prstGeom>
        <a:noFill/>
        <a:ln w="2844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66675</xdr:colOff>
      <xdr:row>31</xdr:row>
      <xdr:rowOff>47625</xdr:rowOff>
    </xdr:from>
    <xdr:to>
      <xdr:col>30</xdr:col>
      <xdr:colOff>9525</xdr:colOff>
      <xdr:row>55</xdr:row>
      <xdr:rowOff>0</xdr:rowOff>
    </xdr:to>
    <xdr:sp macro="" textlink="">
      <xdr:nvSpPr>
        <xdr:cNvPr id="1026" name="Rectangle 27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66675" y="5886450"/>
          <a:ext cx="12230100" cy="384810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200025</xdr:colOff>
      <xdr:row>31</xdr:row>
      <xdr:rowOff>104775</xdr:rowOff>
    </xdr:from>
    <xdr:to>
      <xdr:col>15</xdr:col>
      <xdr:colOff>333375</xdr:colOff>
      <xdr:row>54</xdr:row>
      <xdr:rowOff>76200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31</xdr:row>
      <xdr:rowOff>114300</xdr:rowOff>
    </xdr:from>
    <xdr:to>
      <xdr:col>29</xdr:col>
      <xdr:colOff>352425</xdr:colOff>
      <xdr:row>54</xdr:row>
      <xdr:rowOff>76200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15</xdr:row>
      <xdr:rowOff>19050</xdr:rowOff>
    </xdr:from>
    <xdr:to>
      <xdr:col>1</xdr:col>
      <xdr:colOff>428625</xdr:colOff>
      <xdr:row>19</xdr:row>
      <xdr:rowOff>57150</xdr:rowOff>
    </xdr:to>
    <xdr:grpSp>
      <xdr:nvGrpSpPr>
        <xdr:cNvPr id="1029" name="Group 26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pSpPr>
          <a:grpSpLocks/>
        </xdr:cNvGrpSpPr>
      </xdr:nvGrpSpPr>
      <xdr:grpSpPr bwMode="auto">
        <a:xfrm rot="10800000">
          <a:off x="133350" y="2524125"/>
          <a:ext cx="371475" cy="685800"/>
          <a:chOff x="222" y="4044"/>
          <a:chExt cx="609" cy="1160"/>
        </a:xfrm>
      </xdr:grpSpPr>
      <xdr:sp macro="" textlink="">
        <xdr:nvSpPr>
          <xdr:cNvPr id="1030" name="Rectangle 5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969"/>
            <a:ext cx="307" cy="236"/>
          </a:xfrm>
          <a:prstGeom prst="rect">
            <a:avLst/>
          </a:prstGeom>
          <a:solidFill>
            <a:srgbClr val="EAEAEA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Rectangle 6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745"/>
            <a:ext cx="307" cy="222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2" name="Rectangle 7"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510"/>
            <a:ext cx="307" cy="234"/>
          </a:xfrm>
          <a:prstGeom prst="rect">
            <a:avLst/>
          </a:prstGeom>
          <a:solidFill>
            <a:srgbClr val="B2B2B2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3" name="Rectangle 8">
            <a:extLst>
              <a:ext uri="{FF2B5EF4-FFF2-40B4-BE49-F238E27FC236}">
                <a16:creationId xmlns:a16="http://schemas.microsoft.com/office/drawing/2014/main" id="{00000000-0008-0000-0000-000009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279"/>
            <a:ext cx="307" cy="230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4" name="Rectangle 9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044"/>
            <a:ext cx="307" cy="234"/>
          </a:xfrm>
          <a:prstGeom prst="rect">
            <a:avLst/>
          </a:prstGeom>
          <a:solidFill>
            <a:srgbClr val="80808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 fLocksText="0">
        <xdr:nvSpPr>
          <xdr:cNvPr id="1035" name="Rectangle 10">
            <a:extLst>
              <a:ext uri="{FF2B5EF4-FFF2-40B4-BE49-F238E27FC236}">
                <a16:creationId xmlns:a16="http://schemas.microsoft.com/office/drawing/2014/main" id="{00000000-0008-0000-0000-00000B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969"/>
            <a:ext cx="301" cy="236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 fLocksText="0">
        <xdr:nvSpPr>
          <xdr:cNvPr id="1036" name="Rectangle 11"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745"/>
            <a:ext cx="301" cy="222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 fLocksText="0">
        <xdr:nvSpPr>
          <xdr:cNvPr id="1037" name="Rectangle 12">
            <a:extLst>
              <a:ext uri="{FF2B5EF4-FFF2-40B4-BE49-F238E27FC236}">
                <a16:creationId xmlns:a16="http://schemas.microsoft.com/office/drawing/2014/main" id="{00000000-0008-0000-0000-00000D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510"/>
            <a:ext cx="301" cy="234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</xdr:txBody>
      </xdr:sp>
      <xdr:sp macro="" textlink="" fLocksText="0">
        <xdr:nvSpPr>
          <xdr:cNvPr id="1038" name="Rectangle 13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279"/>
            <a:ext cx="301" cy="230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</xdr:txBody>
      </xdr:sp>
      <xdr:sp macro="" textlink="" fLocksText="0">
        <xdr:nvSpPr>
          <xdr:cNvPr id="1039" name="Rectangle 14">
            <a:extLst>
              <a:ext uri="{FF2B5EF4-FFF2-40B4-BE49-F238E27FC236}">
                <a16:creationId xmlns:a16="http://schemas.microsoft.com/office/drawing/2014/main" id="{00000000-0008-0000-0000-00000F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044"/>
            <a:ext cx="301" cy="234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</xdr:txBody>
      </xdr:sp>
    </xdr:grpSp>
    <xdr:clientData/>
  </xdr:twoCellAnchor>
  <xdr:twoCellAnchor>
    <xdr:from>
      <xdr:col>31</xdr:col>
      <xdr:colOff>71439</xdr:colOff>
      <xdr:row>6</xdr:row>
      <xdr:rowOff>107156</xdr:rowOff>
    </xdr:from>
    <xdr:to>
      <xdr:col>50</xdr:col>
      <xdr:colOff>214313</xdr:colOff>
      <xdr:row>17</xdr:row>
      <xdr:rowOff>95250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2418220" y="1143000"/>
          <a:ext cx="11930062" cy="1821656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anchorCtr="0" upright="1"/>
        <a:lstStyle/>
        <a:p>
          <a:pPr algn="l"/>
          <a:r>
            <a:rPr lang="en-US" sz="2800" b="1">
              <a:solidFill>
                <a:schemeClr val="bg1"/>
              </a:solidFill>
            </a:rPr>
            <a:t> Test Data Set                               Test Data                                     Test Data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123825</xdr:colOff>
          <xdr:row>55</xdr:row>
          <xdr:rowOff>95250</xdr:rowOff>
        </xdr:from>
        <xdr:to>
          <xdr:col>23</xdr:col>
          <xdr:colOff>190500</xdr:colOff>
          <xdr:row>57</xdr:row>
          <xdr:rowOff>95250</xdr:rowOff>
        </xdr:to>
        <xdr:sp macro="" textlink="">
          <xdr:nvSpPr>
            <xdr:cNvPr id="3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323850</xdr:colOff>
          <xdr:row>55</xdr:row>
          <xdr:rowOff>95250</xdr:rowOff>
        </xdr:from>
        <xdr:to>
          <xdr:col>27</xdr:col>
          <xdr:colOff>285750</xdr:colOff>
          <xdr:row>57</xdr:row>
          <xdr:rowOff>85725</xdr:rowOff>
        </xdr:to>
        <xdr:sp macro="" textlink="">
          <xdr:nvSpPr>
            <xdr:cNvPr id="4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Test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19050</xdr:rowOff>
    </xdr:from>
    <xdr:to>
      <xdr:col>10</xdr:col>
      <xdr:colOff>561975</xdr:colOff>
      <xdr:row>19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D8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32">
    <pageSetUpPr fitToPage="1"/>
  </sheetPr>
  <dimension ref="A1:CH505"/>
  <sheetViews>
    <sheetView tabSelected="1" topLeftCell="A4" zoomScaleNormal="100" workbookViewId="0">
      <selection activeCell="O28" sqref="O28"/>
    </sheetView>
  </sheetViews>
  <sheetFormatPr baseColWidth="10" defaultColWidth="9.140625" defaultRowHeight="12.75" x14ac:dyDescent="0.2"/>
  <cols>
    <col min="1" max="1" width="1.140625" style="68" customWidth="1"/>
    <col min="2" max="2" width="8" style="68" customWidth="1"/>
    <col min="3" max="3" width="7" style="68" customWidth="1"/>
    <col min="4" max="4" width="7.140625" style="68" customWidth="1"/>
    <col min="5" max="5" width="6.85546875" style="68" customWidth="1"/>
    <col min="6" max="6" width="7.85546875" style="68" customWidth="1"/>
    <col min="7" max="7" width="9.42578125" style="68" customWidth="1"/>
    <col min="8" max="29" width="5.7109375" style="68" customWidth="1"/>
    <col min="30" max="30" width="11.140625" style="68" customWidth="1"/>
    <col min="31" max="31" width="1" style="68" customWidth="1"/>
    <col min="32" max="33" width="9.140625" style="68"/>
    <col min="34" max="34" width="5.7109375" style="68" customWidth="1"/>
    <col min="35" max="35" width="6.42578125" style="68" customWidth="1"/>
    <col min="36" max="36" width="17.5703125" style="68" customWidth="1"/>
    <col min="37" max="37" width="9.140625" style="68"/>
    <col min="38" max="38" width="5.140625" style="68" customWidth="1"/>
    <col min="39" max="39" width="19.5703125" style="68" customWidth="1"/>
    <col min="40" max="40" width="8.28515625" style="82" customWidth="1"/>
    <col min="41" max="41" width="4.85546875" style="68" customWidth="1"/>
    <col min="42" max="52" width="9.140625" style="68"/>
    <col min="53" max="53" width="1.140625" style="68" customWidth="1"/>
    <col min="54" max="54" width="8" style="68" customWidth="1"/>
    <col min="55" max="55" width="7" style="68" customWidth="1"/>
    <col min="56" max="56" width="7.140625" style="68" customWidth="1"/>
    <col min="57" max="57" width="6.85546875" style="68" customWidth="1"/>
    <col min="58" max="58" width="7.85546875" style="68" customWidth="1"/>
    <col min="59" max="59" width="9.42578125" style="68" customWidth="1"/>
    <col min="60" max="81" width="5.7109375" style="68" customWidth="1"/>
    <col min="82" max="82" width="11.140625" style="68" customWidth="1"/>
    <col min="83" max="83" width="1" style="68" customWidth="1"/>
    <col min="84" max="16384" width="9.140625" style="68"/>
  </cols>
  <sheetData>
    <row r="1" spans="2:82" ht="15.75" thickBot="1" x14ac:dyDescent="0.25">
      <c r="D1" s="69"/>
      <c r="E1" s="70" t="str">
        <f t="shared" ref="E1:E11" si="0">E105</f>
        <v>Secuencia de la muestra, #:</v>
      </c>
      <c r="F1" s="272"/>
      <c r="H1" s="69"/>
      <c r="I1" s="72"/>
      <c r="K1" s="70" t="str">
        <f t="shared" ref="K1:K10" si="1">K105</f>
        <v>Dueño:</v>
      </c>
      <c r="L1" s="39"/>
      <c r="M1" s="74"/>
      <c r="N1" s="75"/>
      <c r="O1" s="76"/>
      <c r="P1" s="76"/>
      <c r="Q1" s="70" t="str">
        <f>Q105</f>
        <v xml:space="preserve">Comentos: </v>
      </c>
      <c r="R1" s="56"/>
      <c r="S1" s="78"/>
      <c r="T1" s="79"/>
      <c r="U1" s="80"/>
      <c r="Y1" s="70" t="str">
        <f>Y105</f>
        <v>No exportable % :</v>
      </c>
      <c r="Z1" s="81" t="e">
        <f>100*(SUM(E24:E28)+C29)/C30</f>
        <v>#DIV/0!</v>
      </c>
      <c r="AC1" s="70" t="str">
        <f>AC105</f>
        <v>Rendi. Total, % :</v>
      </c>
      <c r="AD1" s="81" t="str">
        <f>IF(F1=" "," ",IF(L5=0,"ERROR",100*C30/L5))</f>
        <v>ERROR</v>
      </c>
      <c r="BD1" s="69"/>
      <c r="BE1" s="70" t="str">
        <f>E1</f>
        <v>Secuencia de la muestra, #:</v>
      </c>
      <c r="BF1" s="63" t="s">
        <v>271</v>
      </c>
      <c r="BH1" s="69"/>
      <c r="BI1" s="72"/>
      <c r="BK1" s="70" t="str">
        <f t="shared" ref="BK1:BK11" si="2">K1</f>
        <v>Dueño:</v>
      </c>
      <c r="BL1" s="39" t="s">
        <v>272</v>
      </c>
      <c r="BM1" s="74"/>
      <c r="BN1" s="75"/>
      <c r="BO1" s="76"/>
      <c r="BP1" s="76"/>
      <c r="BQ1" s="70" t="str">
        <f>Q1</f>
        <v xml:space="preserve">Comentos: </v>
      </c>
      <c r="BR1" s="56" t="s">
        <v>285</v>
      </c>
      <c r="BS1" s="78"/>
      <c r="BT1" s="79"/>
      <c r="BU1" s="80"/>
      <c r="BY1" s="70"/>
      <c r="BZ1" s="81"/>
      <c r="CC1" s="70"/>
      <c r="CD1" s="81"/>
    </row>
    <row r="2" spans="2:82" ht="13.5" customHeight="1" x14ac:dyDescent="0.2">
      <c r="D2" s="69"/>
      <c r="E2" s="70" t="str">
        <f t="shared" si="0"/>
        <v>Fecha llegada (muestra):</v>
      </c>
      <c r="F2" s="280"/>
      <c r="G2" s="281"/>
      <c r="H2" s="69"/>
      <c r="I2" s="69"/>
      <c r="K2" s="70" t="str">
        <f t="shared" si="1"/>
        <v>Predio:</v>
      </c>
      <c r="L2" s="39"/>
      <c r="M2" s="74"/>
      <c r="N2" s="75"/>
      <c r="O2" s="76"/>
      <c r="P2" s="56"/>
      <c r="Q2" s="79"/>
      <c r="R2" s="78"/>
      <c r="S2" s="78"/>
      <c r="T2" s="79"/>
      <c r="U2" s="80"/>
      <c r="BD2" s="69"/>
      <c r="BE2" s="70" t="str">
        <f>E2</f>
        <v>Fecha llegada (muestra):</v>
      </c>
      <c r="BF2" s="280">
        <v>43366</v>
      </c>
      <c r="BG2" s="281"/>
      <c r="BH2" s="69"/>
      <c r="BI2" s="69"/>
      <c r="BK2" s="70" t="str">
        <f t="shared" si="2"/>
        <v>Predio:</v>
      </c>
      <c r="BL2" s="39" t="s">
        <v>275</v>
      </c>
      <c r="BM2" s="74"/>
      <c r="BN2" s="75"/>
      <c r="BO2" s="76"/>
      <c r="BP2" s="56" t="s">
        <v>286</v>
      </c>
      <c r="BQ2" s="79"/>
      <c r="BR2" s="78"/>
      <c r="BS2" s="78"/>
      <c r="BT2" s="79"/>
      <c r="BU2" s="80"/>
    </row>
    <row r="3" spans="2:82" ht="13.5" thickBot="1" x14ac:dyDescent="0.25">
      <c r="D3" s="69"/>
      <c r="E3" s="70" t="str">
        <f t="shared" si="0"/>
        <v>Muestra tomadoa por:</v>
      </c>
      <c r="F3" s="280"/>
      <c r="G3" s="281"/>
      <c r="K3" s="70" t="str">
        <f t="shared" si="1"/>
        <v>Localidad:</v>
      </c>
      <c r="L3" s="40"/>
      <c r="O3" s="76"/>
      <c r="P3" s="56"/>
      <c r="Q3" s="79"/>
      <c r="R3" s="78"/>
      <c r="S3" s="78"/>
      <c r="T3" s="79"/>
      <c r="U3" s="80"/>
      <c r="Z3" s="69"/>
      <c r="AA3" s="69"/>
      <c r="AB3" s="69"/>
      <c r="AC3" s="70" t="str">
        <f>AC107</f>
        <v>Puntacion, defectos Q® :</v>
      </c>
      <c r="AD3" s="83" t="str">
        <f>IF(F1=" "," ",IF(L5=0,"ERROR",AD63))</f>
        <v>ERROR</v>
      </c>
      <c r="BD3" s="69"/>
      <c r="BE3" s="70" t="str">
        <f>E3</f>
        <v>Muestra tomadoa por:</v>
      </c>
      <c r="BF3" s="280" t="s">
        <v>272</v>
      </c>
      <c r="BG3" s="281"/>
      <c r="BK3" s="70" t="str">
        <f t="shared" si="2"/>
        <v>Localidad:</v>
      </c>
      <c r="BL3" s="40" t="s">
        <v>277</v>
      </c>
      <c r="BO3" s="76"/>
      <c r="BP3" s="56" t="s">
        <v>287</v>
      </c>
      <c r="BQ3" s="79"/>
      <c r="BR3" s="78"/>
      <c r="BS3" s="78"/>
      <c r="BT3" s="79"/>
      <c r="BU3" s="80"/>
      <c r="BZ3" s="69"/>
      <c r="CA3" s="69"/>
      <c r="CB3" s="69"/>
      <c r="CC3" s="70"/>
      <c r="CD3" s="83"/>
    </row>
    <row r="4" spans="2:82" x14ac:dyDescent="0.2">
      <c r="D4" s="69"/>
      <c r="E4" s="70" t="str">
        <f t="shared" si="0"/>
        <v>Fecha del Lote:</v>
      </c>
      <c r="F4" s="280"/>
      <c r="G4" s="281"/>
      <c r="K4" s="70" t="str">
        <f t="shared" si="1"/>
        <v>Calidad de Cerezas:</v>
      </c>
      <c r="L4" s="53"/>
      <c r="O4" s="76"/>
      <c r="Q4" s="76"/>
      <c r="R4" s="76"/>
      <c r="S4" s="70"/>
      <c r="AC4" s="69"/>
      <c r="BD4" s="69"/>
      <c r="BE4" s="70" t="str">
        <f t="shared" ref="BE4:BE11" si="3">E4</f>
        <v>Fecha del Lote:</v>
      </c>
      <c r="BF4" s="280">
        <v>42948</v>
      </c>
      <c r="BG4" s="281"/>
      <c r="BK4" s="70" t="str">
        <f t="shared" si="2"/>
        <v>Calidad de Cerezas:</v>
      </c>
      <c r="BL4" s="53" t="s">
        <v>275</v>
      </c>
      <c r="BO4" s="76"/>
      <c r="BQ4" s="76"/>
      <c r="BR4" s="76"/>
      <c r="BS4" s="70"/>
      <c r="CC4" s="69"/>
    </row>
    <row r="5" spans="2:82" ht="13.5" thickBot="1" x14ac:dyDescent="0.25">
      <c r="D5" s="69"/>
      <c r="E5" s="70" t="str">
        <f t="shared" si="0"/>
        <v>Proceso (L, Sem-L, No-L)</v>
      </c>
      <c r="F5" s="40"/>
      <c r="K5" s="70" t="str">
        <f t="shared" si="1"/>
        <v>El peso evaluado, g:</v>
      </c>
      <c r="L5" s="40"/>
      <c r="M5" s="68" t="str">
        <f>M109</f>
        <v>(350 g L, 400 g ND, 600 g C)</v>
      </c>
      <c r="O5" s="76"/>
      <c r="P5" s="76"/>
      <c r="Q5" s="76"/>
      <c r="R5" s="76"/>
      <c r="S5" s="70"/>
      <c r="AC5" s="70" t="str">
        <f>IF(F6="O"," ",AC109)</f>
        <v>Defectos Estimados despues el Oliver, Q® :</v>
      </c>
      <c r="AD5" s="83" t="e">
        <f>IF(F1=" "," ",AD69)</f>
        <v>#DIV/0!</v>
      </c>
      <c r="BD5" s="69"/>
      <c r="BE5" s="70" t="str">
        <f t="shared" si="3"/>
        <v>Proceso (L, Sem-L, No-L)</v>
      </c>
      <c r="BF5" s="40" t="s">
        <v>273</v>
      </c>
      <c r="BK5" s="70" t="str">
        <f t="shared" si="2"/>
        <v>El peso evaluado, g:</v>
      </c>
      <c r="BL5" s="40">
        <v>350</v>
      </c>
      <c r="BM5" s="68" t="str">
        <f>M5</f>
        <v>(350 g L, 400 g ND, 600 g C)</v>
      </c>
      <c r="BO5" s="76"/>
      <c r="BP5" s="76"/>
      <c r="BQ5" s="76"/>
      <c r="BR5" s="76"/>
      <c r="BS5" s="70"/>
      <c r="CC5" s="70"/>
      <c r="CD5" s="83"/>
    </row>
    <row r="6" spans="2:82" x14ac:dyDescent="0.2">
      <c r="D6" s="69"/>
      <c r="E6" s="70" t="str">
        <f t="shared" si="0"/>
        <v>Forma del café( P, C, S, F, O):</v>
      </c>
      <c r="F6" s="40"/>
      <c r="K6" s="70" t="str">
        <f t="shared" si="1"/>
        <v>Humedad, Con | Sin Cascara</v>
      </c>
      <c r="L6" s="61"/>
      <c r="M6" s="55"/>
      <c r="N6" s="68" t="str">
        <f>N110</f>
        <v>% | %</v>
      </c>
      <c r="O6" s="76"/>
      <c r="P6" s="69"/>
      <c r="Q6" s="87"/>
      <c r="R6" s="87" t="str">
        <f>R110</f>
        <v>Aspecto</v>
      </c>
      <c r="S6" s="87"/>
      <c r="T6" s="76"/>
      <c r="U6" s="76"/>
      <c r="W6" s="88"/>
      <c r="X6" s="88"/>
      <c r="Y6" s="88"/>
      <c r="Z6" s="88"/>
      <c r="AA6" s="88"/>
      <c r="AB6" s="88"/>
      <c r="AC6" s="69"/>
      <c r="AD6" s="88"/>
      <c r="AF6" s="69"/>
      <c r="AG6" s="89"/>
      <c r="AH6" s="69"/>
      <c r="BD6" s="69"/>
      <c r="BE6" s="70" t="str">
        <f t="shared" si="3"/>
        <v>Forma del café( P, C, S, F, O):</v>
      </c>
      <c r="BF6" s="40" t="s">
        <v>213</v>
      </c>
      <c r="BK6" s="70" t="str">
        <f t="shared" si="2"/>
        <v>Humedad, Con | Sin Cascara</v>
      </c>
      <c r="BL6" s="61">
        <v>6</v>
      </c>
      <c r="BM6" s="55">
        <v>11</v>
      </c>
      <c r="BN6" s="68" t="str">
        <f>N6</f>
        <v>% | %</v>
      </c>
      <c r="BO6" s="76"/>
      <c r="BP6" s="69"/>
      <c r="BQ6" s="87"/>
      <c r="BR6" s="87" t="str">
        <f>R6</f>
        <v>Aspecto</v>
      </c>
      <c r="BS6" s="87"/>
      <c r="BT6" s="76"/>
      <c r="BU6" s="76"/>
      <c r="BW6" s="88"/>
      <c r="BX6" s="88"/>
      <c r="BY6" s="88"/>
      <c r="BZ6" s="88"/>
      <c r="CA6" s="88"/>
      <c r="CB6" s="88"/>
      <c r="CC6" s="69"/>
      <c r="CD6" s="88"/>
    </row>
    <row r="7" spans="2:82" x14ac:dyDescent="0.2">
      <c r="E7" s="70" t="str">
        <f t="shared" si="0"/>
        <v>Peso del lote, kg:</v>
      </c>
      <c r="F7" s="40"/>
      <c r="K7" s="70" t="str">
        <f t="shared" si="1"/>
        <v>Método secado (P,S,C):</v>
      </c>
      <c r="L7" s="40"/>
      <c r="O7" s="76"/>
      <c r="P7" s="76"/>
      <c r="S7" s="70" t="str">
        <f>S111</f>
        <v xml:space="preserve">Fecha evaluado: </v>
      </c>
      <c r="T7" s="280"/>
      <c r="U7" s="281"/>
      <c r="W7" s="90"/>
      <c r="X7" s="91"/>
      <c r="Y7" s="91"/>
      <c r="Z7" s="92"/>
      <c r="AA7" s="93" t="str">
        <f>IF(F6&lt;&gt;"O",AA111," ")</f>
        <v>Salidas Estimadas, porcento del Oro Bruto</v>
      </c>
      <c r="AB7" s="91"/>
      <c r="AC7" s="94"/>
      <c r="AD7" s="95"/>
      <c r="AG7" s="69"/>
      <c r="AH7" s="69"/>
      <c r="BE7" s="70" t="str">
        <f t="shared" si="3"/>
        <v>Peso del lote, kg:</v>
      </c>
      <c r="BF7" s="40">
        <v>500</v>
      </c>
      <c r="BK7" s="70" t="str">
        <f t="shared" si="2"/>
        <v>Método secado (P,S,C):</v>
      </c>
      <c r="BL7" s="40" t="s">
        <v>213</v>
      </c>
      <c r="BO7" s="76"/>
      <c r="BP7" s="76"/>
      <c r="BS7" s="70" t="str">
        <f>S7</f>
        <v xml:space="preserve">Fecha evaluado: </v>
      </c>
      <c r="BT7" s="280">
        <v>43313</v>
      </c>
      <c r="BU7" s="281"/>
      <c r="BW7" s="90"/>
      <c r="BX7" s="91"/>
      <c r="BY7" s="91"/>
      <c r="BZ7" s="92"/>
      <c r="CA7" s="93"/>
      <c r="CB7" s="91"/>
      <c r="CC7" s="94"/>
      <c r="CD7" s="95"/>
    </row>
    <row r="8" spans="2:82" x14ac:dyDescent="0.2">
      <c r="D8" s="69"/>
      <c r="E8" s="70" t="str">
        <f t="shared" si="0"/>
        <v>Cantidad, sacos:</v>
      </c>
      <c r="F8" s="40"/>
      <c r="K8" s="70" t="str">
        <f t="shared" si="1"/>
        <v>Peso en 75cc, g | # Criba</v>
      </c>
      <c r="L8" s="61"/>
      <c r="M8" s="55"/>
      <c r="N8" s="70"/>
      <c r="S8" s="70" t="str">
        <f>S112</f>
        <v xml:space="preserve">Evaluado por: </v>
      </c>
      <c r="T8" s="39"/>
      <c r="U8" s="75"/>
      <c r="W8" s="96"/>
      <c r="X8" s="97"/>
      <c r="Y8" s="97"/>
      <c r="Z8" s="97"/>
      <c r="AA8" s="97"/>
      <c r="AB8" s="97"/>
      <c r="AC8" s="97"/>
      <c r="AD8" s="98"/>
      <c r="AG8" s="69"/>
      <c r="BD8" s="69"/>
      <c r="BE8" s="70" t="str">
        <f t="shared" si="3"/>
        <v>Cantidad, sacos:</v>
      </c>
      <c r="BF8" s="40">
        <v>10</v>
      </c>
      <c r="BK8" s="70" t="str">
        <f t="shared" si="2"/>
        <v>Peso en 75cc, g | # Criba</v>
      </c>
      <c r="BL8" s="61">
        <v>55</v>
      </c>
      <c r="BM8" s="55">
        <v>16</v>
      </c>
      <c r="BN8" s="70"/>
      <c r="BS8" s="70" t="str">
        <f>S8</f>
        <v xml:space="preserve">Evaluado por: </v>
      </c>
      <c r="BT8" s="39" t="s">
        <v>283</v>
      </c>
      <c r="BU8" s="75"/>
      <c r="BW8" s="96"/>
      <c r="BX8" s="97"/>
      <c r="BY8" s="97"/>
      <c r="BZ8" s="97"/>
      <c r="CA8" s="97"/>
      <c r="CB8" s="97"/>
      <c r="CC8" s="97"/>
      <c r="CD8" s="98"/>
    </row>
    <row r="9" spans="2:82" x14ac:dyDescent="0.2">
      <c r="D9" s="69"/>
      <c r="E9" s="70" t="str">
        <f t="shared" si="0"/>
        <v>Fuente del Café, BH:</v>
      </c>
      <c r="F9" s="40"/>
      <c r="K9" s="70" t="str">
        <f t="shared" si="1"/>
        <v>Uniformidad del oro (1-5):</v>
      </c>
      <c r="L9" s="40"/>
      <c r="M9" s="99" t="str">
        <f>M113</f>
        <v xml:space="preserve"> 5 = todos igales</v>
      </c>
      <c r="Q9" s="100"/>
      <c r="R9" s="100" t="str">
        <f>R113</f>
        <v>La Taza</v>
      </c>
      <c r="S9" s="100"/>
      <c r="T9" s="76"/>
      <c r="U9" s="76"/>
      <c r="W9" s="96"/>
      <c r="X9" s="97"/>
      <c r="Y9" s="97"/>
      <c r="Z9" s="97"/>
      <c r="AA9" s="97"/>
      <c r="AB9" s="97"/>
      <c r="AC9" s="101" t="str">
        <f>IF(F6&lt;&gt;"O",AC113," ")</f>
        <v>Grado Reserva Exportable, %</v>
      </c>
      <c r="AD9" s="102">
        <f>IF(F6&lt;&gt;"O",100*IF(AD3&lt;0,0,IF(AD3&lt;=15,-0.4*AD3+98,IF(AD3&lt;=35,-4.6*AD3+161,IF(AD3&gt;35,0,"TILT-2"))))/100," ")</f>
        <v>0</v>
      </c>
      <c r="AF9" s="103" t="s">
        <v>9</v>
      </c>
      <c r="AG9" s="69"/>
      <c r="AH9" s="82"/>
      <c r="AI9" s="82"/>
      <c r="BD9" s="69"/>
      <c r="BE9" s="70" t="str">
        <f t="shared" si="3"/>
        <v>Fuente del Café, BH:</v>
      </c>
      <c r="BF9" s="40" t="s">
        <v>274</v>
      </c>
      <c r="BK9" s="70" t="str">
        <f t="shared" si="2"/>
        <v>Uniformidad del oro (1-5):</v>
      </c>
      <c r="BL9" s="40">
        <v>4</v>
      </c>
      <c r="BM9" s="99" t="str">
        <f>M9</f>
        <v xml:space="preserve"> 5 = todos igales</v>
      </c>
      <c r="BQ9" s="100"/>
      <c r="BR9" s="100" t="str">
        <f>R9</f>
        <v>La Taza</v>
      </c>
      <c r="BS9" s="100"/>
      <c r="BT9" s="76"/>
      <c r="BU9" s="76"/>
      <c r="BW9" s="96"/>
      <c r="BX9" s="97"/>
      <c r="BY9" s="97"/>
      <c r="BZ9" s="97"/>
      <c r="CA9" s="97"/>
      <c r="CB9" s="97"/>
      <c r="CC9" s="101"/>
      <c r="CD9" s="102"/>
    </row>
    <row r="10" spans="2:82" x14ac:dyDescent="0.2">
      <c r="D10" s="69"/>
      <c r="E10" s="70" t="str">
        <f t="shared" si="0"/>
        <v># ID del fuente:</v>
      </c>
      <c r="F10" s="40"/>
      <c r="K10" s="70" t="str">
        <f t="shared" si="1"/>
        <v>Color en oro:</v>
      </c>
      <c r="L10" s="40"/>
      <c r="N10" s="104" t="str">
        <f>N114</f>
        <v xml:space="preserve">  Evaluadas</v>
      </c>
      <c r="S10" s="70" t="str">
        <f>S114</f>
        <v xml:space="preserve">Fecha evaluado: </v>
      </c>
      <c r="T10" s="280"/>
      <c r="U10" s="281"/>
      <c r="W10" s="96"/>
      <c r="X10" s="97"/>
      <c r="Y10" s="97"/>
      <c r="Z10" s="97"/>
      <c r="AA10" s="97"/>
      <c r="AB10" s="97"/>
      <c r="AC10" s="101" t="str">
        <f>IF(F6&lt;&gt;"O",AC114," ")</f>
        <v>Grado EP Exportable, %</v>
      </c>
      <c r="AD10" s="102">
        <f>IF(F6&lt;&gt;"O",100*IF(AD3&lt;0,0,IF(AD3&lt;=15,-0.1333*AD3+98,IF(AD3&lt;=20,-2.2*AD3+129,IF(AD3&lt;=40,-4.25*AD3+170,IF(AD3&gt;40,0,"TILT-2")))))/100," ")</f>
        <v>0</v>
      </c>
      <c r="AG10" s="69"/>
      <c r="AH10" s="82"/>
      <c r="AI10" s="82"/>
      <c r="BD10" s="69"/>
      <c r="BE10" s="70" t="str">
        <f t="shared" si="3"/>
        <v># ID del fuente:</v>
      </c>
      <c r="BF10" s="40" t="s">
        <v>275</v>
      </c>
      <c r="BK10" s="70" t="str">
        <f t="shared" si="2"/>
        <v>Color en oro:</v>
      </c>
      <c r="BL10" s="40">
        <v>4</v>
      </c>
      <c r="BN10" s="265" t="str">
        <f>N10</f>
        <v xml:space="preserve">  Evaluadas</v>
      </c>
      <c r="BO10" s="70"/>
      <c r="BS10" s="70" t="str">
        <f>S10</f>
        <v xml:space="preserve">Fecha evaluado: </v>
      </c>
      <c r="BT10" s="280">
        <v>43313</v>
      </c>
      <c r="BU10" s="281"/>
      <c r="BW10" s="96"/>
      <c r="BX10" s="97"/>
      <c r="BY10" s="97"/>
      <c r="BZ10" s="97"/>
      <c r="CA10" s="97"/>
      <c r="CB10" s="97"/>
      <c r="CC10" s="101"/>
      <c r="CD10" s="102"/>
    </row>
    <row r="11" spans="2:82" x14ac:dyDescent="0.2">
      <c r="D11" s="69"/>
      <c r="E11" s="70" t="str">
        <f t="shared" si="0"/>
        <v>Cert. (Sin, Org, Utz):</v>
      </c>
      <c r="F11" s="40"/>
      <c r="K11" s="70" t="str">
        <f>K115</f>
        <v>Actividad Agua, %:</v>
      </c>
      <c r="L11" s="40"/>
      <c r="N11" s="105" t="str">
        <f>N115</f>
        <v>Tazas:</v>
      </c>
      <c r="O11" s="40"/>
      <c r="S11" s="70" t="str">
        <f>S115</f>
        <v xml:space="preserve">Evaluado por: </v>
      </c>
      <c r="T11" s="39"/>
      <c r="U11" s="75"/>
      <c r="W11" s="106"/>
      <c r="X11" s="107"/>
      <c r="Y11" s="107"/>
      <c r="Z11" s="107"/>
      <c r="AA11" s="107"/>
      <c r="AB11" s="107"/>
      <c r="AC11" s="108" t="str">
        <f>IF(F6&lt;&gt;"O",AC115," ")</f>
        <v>Grado AP Exportable, %</v>
      </c>
      <c r="AD11" s="109">
        <f>IF(F6&lt;&gt;"O",100*IF(AD3&lt;0,0,IF(AD3&lt;=25,-0.04*AD3+98,IF(AD3&lt;=35,-1.1*AD3+124.5,IF(AD3&lt;=60,-3.44*AD3+206.4,IF(AD3&gt;60,0,"TILT-2")))))/100," ")</f>
        <v>0</v>
      </c>
      <c r="AH11" s="82"/>
      <c r="AI11" s="82"/>
      <c r="BD11" s="69"/>
      <c r="BE11" s="70" t="str">
        <f t="shared" si="3"/>
        <v>Cert. (Sin, Org, Utz):</v>
      </c>
      <c r="BF11" s="40" t="s">
        <v>276</v>
      </c>
      <c r="BK11" s="70" t="str">
        <f t="shared" si="2"/>
        <v>Actividad Agua, %:</v>
      </c>
      <c r="BL11" s="40">
        <v>44</v>
      </c>
      <c r="BN11" s="70" t="str">
        <f>N11</f>
        <v>Tazas:</v>
      </c>
      <c r="BO11" s="40">
        <v>3</v>
      </c>
      <c r="BS11" s="70" t="str">
        <f>S11</f>
        <v xml:space="preserve">Evaluado por: </v>
      </c>
      <c r="BT11" s="39" t="s">
        <v>284</v>
      </c>
      <c r="BU11" s="75"/>
      <c r="BW11" s="106"/>
      <c r="BX11" s="107"/>
      <c r="BY11" s="107"/>
      <c r="BZ11" s="107"/>
      <c r="CA11" s="107"/>
      <c r="CB11" s="107"/>
      <c r="CC11" s="108"/>
      <c r="CD11" s="109"/>
    </row>
    <row r="13" spans="2:82" ht="13.5" thickBot="1" x14ac:dyDescent="0.25">
      <c r="C13" s="70" t="str">
        <f>C117</f>
        <v xml:space="preserve">La Taza:  </v>
      </c>
      <c r="I13" s="70" t="str">
        <f>I117</f>
        <v xml:space="preserve">Sabor: </v>
      </c>
      <c r="J13" s="27">
        <v>0</v>
      </c>
      <c r="O13" s="70" t="str">
        <f>O117</f>
        <v xml:space="preserve">Acidez: </v>
      </c>
      <c r="P13" s="27">
        <v>0</v>
      </c>
      <c r="U13" s="70" t="str">
        <f>U117</f>
        <v xml:space="preserve">Balance: </v>
      </c>
      <c r="V13" s="27">
        <v>0</v>
      </c>
      <c r="AC13" s="70"/>
      <c r="AD13" s="81" t="str">
        <f>IF(E14=" ",E14,(E14+J13+J16+P13+P17+V13+((10/O11)*V15)+((10/O11)*V17)+((10/O11)*V19)+AA15-AA17))</f>
        <v xml:space="preserve"> </v>
      </c>
      <c r="BC13" s="70" t="str">
        <f>C13</f>
        <v xml:space="preserve">La Taza:  </v>
      </c>
      <c r="BI13" s="70" t="str">
        <f>I13</f>
        <v xml:space="preserve">Sabor: </v>
      </c>
      <c r="BJ13" s="27">
        <v>7.5</v>
      </c>
      <c r="BO13" s="70" t="str">
        <f>O13</f>
        <v xml:space="preserve">Acidez: </v>
      </c>
      <c r="BP13" s="27">
        <v>7</v>
      </c>
      <c r="BU13" s="70" t="str">
        <f>U13</f>
        <v xml:space="preserve">Balance: </v>
      </c>
      <c r="BV13" s="27">
        <v>8</v>
      </c>
      <c r="CC13" s="70"/>
      <c r="CD13" s="81"/>
    </row>
    <row r="14" spans="2:82" x14ac:dyDescent="0.2">
      <c r="D14" s="70" t="str">
        <f>D118</f>
        <v xml:space="preserve">Fragrancia/Aroma: </v>
      </c>
      <c r="E14" s="111" t="str">
        <f>IF(O11&lt;&gt;0,((D16+E18+F16)/3)," ")</f>
        <v xml:space="preserve"> </v>
      </c>
      <c r="J14" s="112" t="s">
        <v>16</v>
      </c>
      <c r="K14" s="282"/>
      <c r="L14" s="282"/>
      <c r="M14" s="282"/>
      <c r="P14" s="112" t="s">
        <v>16</v>
      </c>
      <c r="Q14" s="282"/>
      <c r="R14" s="282"/>
      <c r="S14" s="282"/>
      <c r="BD14" s="70" t="str">
        <f>D14</f>
        <v xml:space="preserve">Fragrancia/Aroma: </v>
      </c>
      <c r="BE14" s="111"/>
      <c r="BJ14" s="213" t="str">
        <f>J14</f>
        <v xml:space="preserve">Cualidades: </v>
      </c>
      <c r="BK14" s="282" t="s">
        <v>280</v>
      </c>
      <c r="BL14" s="282"/>
      <c r="BM14" s="282"/>
      <c r="BP14" s="213" t="str">
        <f>P14</f>
        <v xml:space="preserve">Cualidades: </v>
      </c>
      <c r="BQ14" s="282" t="s">
        <v>281</v>
      </c>
      <c r="BR14" s="282"/>
      <c r="BS14" s="282"/>
    </row>
    <row r="15" spans="2:82" x14ac:dyDescent="0.2">
      <c r="B15" s="27">
        <v>0</v>
      </c>
      <c r="D15" s="113" t="str">
        <f>D119</f>
        <v xml:space="preserve">Seco: </v>
      </c>
      <c r="F15" s="113" t="str">
        <f>F119</f>
        <v>Mojado:</v>
      </c>
      <c r="P15" s="112" t="s">
        <v>19</v>
      </c>
      <c r="Q15" s="16"/>
      <c r="U15" s="70" t="str">
        <f>U119</f>
        <v xml:space="preserve">Uniformidad - tazas: </v>
      </c>
      <c r="V15" s="27">
        <v>0</v>
      </c>
      <c r="Z15" s="70" t="str">
        <f>Z119</f>
        <v xml:space="preserve">Puntaje Catador: </v>
      </c>
      <c r="AA15" s="27">
        <v>0</v>
      </c>
      <c r="BB15" s="27">
        <v>3</v>
      </c>
      <c r="BD15" s="113" t="str">
        <f>D15</f>
        <v xml:space="preserve">Seco: </v>
      </c>
      <c r="BF15" s="113" t="str">
        <f>F15</f>
        <v>Mojado:</v>
      </c>
      <c r="BP15" s="213" t="str">
        <f>P15</f>
        <v xml:space="preserve">Intensidad 1-5: </v>
      </c>
      <c r="BQ15" s="16">
        <v>3</v>
      </c>
      <c r="BU15" s="70" t="str">
        <f>U15</f>
        <v xml:space="preserve">Uniformidad - tazas: </v>
      </c>
      <c r="BV15" s="27">
        <v>2</v>
      </c>
      <c r="BZ15" s="70" t="str">
        <f>Z15</f>
        <v xml:space="preserve">Puntaje Catador: </v>
      </c>
      <c r="CA15" s="27">
        <v>7</v>
      </c>
    </row>
    <row r="16" spans="2:82" x14ac:dyDescent="0.2">
      <c r="D16" s="27">
        <v>0</v>
      </c>
      <c r="F16" s="27">
        <v>0</v>
      </c>
      <c r="I16" s="70" t="str">
        <f>I120</f>
        <v xml:space="preserve">Sabor remanente: </v>
      </c>
      <c r="J16" s="27">
        <v>0</v>
      </c>
      <c r="BD16" s="27">
        <v>7.5</v>
      </c>
      <c r="BF16" s="27">
        <v>7</v>
      </c>
      <c r="BI16" s="70" t="str">
        <f>I16</f>
        <v xml:space="preserve">Sabor remanente: </v>
      </c>
      <c r="BJ16" s="27">
        <v>8</v>
      </c>
    </row>
    <row r="17" spans="2:82" x14ac:dyDescent="0.2">
      <c r="D17" s="112" t="str">
        <f>D121</f>
        <v>Cualidades 1:</v>
      </c>
      <c r="E17" s="282" t="s">
        <v>278</v>
      </c>
      <c r="F17" s="282"/>
      <c r="G17" s="282"/>
      <c r="J17" s="112" t="str">
        <f>J121</f>
        <v xml:space="preserve">Cualidades: </v>
      </c>
      <c r="K17" s="282"/>
      <c r="L17" s="282"/>
      <c r="M17" s="282"/>
      <c r="O17" s="70" t="str">
        <f>O121</f>
        <v xml:space="preserve">Cuerpo: </v>
      </c>
      <c r="P17" s="110">
        <v>0</v>
      </c>
      <c r="U17" s="70" t="str">
        <f>U121</f>
        <v xml:space="preserve">Taza limpia: </v>
      </c>
      <c r="V17" s="27">
        <v>0</v>
      </c>
      <c r="Z17" s="70" t="str">
        <f>Z121</f>
        <v xml:space="preserve">Defectos: </v>
      </c>
      <c r="AA17" s="111" t="str">
        <f>IF(O11&lt;&gt;0,(AA18*AA19)," ")</f>
        <v xml:space="preserve"> </v>
      </c>
      <c r="AB17" s="114" t="str">
        <f>AB121</f>
        <v>(Sustraer)</v>
      </c>
      <c r="BD17" s="213" t="str">
        <f>D17</f>
        <v>Cualidades 1:</v>
      </c>
      <c r="BE17" s="282" t="s">
        <v>278</v>
      </c>
      <c r="BF17" s="282"/>
      <c r="BG17" s="282"/>
      <c r="BJ17" s="213" t="str">
        <f>J17</f>
        <v xml:space="preserve">Cualidades: </v>
      </c>
      <c r="BK17" s="282" t="s">
        <v>80</v>
      </c>
      <c r="BL17" s="282"/>
      <c r="BM17" s="282"/>
      <c r="BO17" s="70" t="str">
        <f>O17</f>
        <v xml:space="preserve">Cuerpo: </v>
      </c>
      <c r="BP17" s="110">
        <v>8</v>
      </c>
      <c r="BU17" s="70" t="str">
        <f>U17</f>
        <v xml:space="preserve">Taza limpia: </v>
      </c>
      <c r="BV17" s="27">
        <v>3</v>
      </c>
      <c r="BZ17" s="70" t="str">
        <f>Z17</f>
        <v xml:space="preserve">Defectos: </v>
      </c>
      <c r="CA17" s="111"/>
      <c r="CB17" s="114"/>
    </row>
    <row r="18" spans="2:82" x14ac:dyDescent="0.2">
      <c r="D18" s="70" t="s">
        <v>28</v>
      </c>
      <c r="E18" s="27">
        <v>0</v>
      </c>
      <c r="F18" s="114"/>
      <c r="K18" s="112" t="str">
        <f>K122</f>
        <v xml:space="preserve">Quakers: </v>
      </c>
      <c r="L18" s="27">
        <v>0</v>
      </c>
      <c r="P18" s="112" t="str">
        <f>P122</f>
        <v xml:space="preserve">Cualidades: </v>
      </c>
      <c r="Q18" s="282"/>
      <c r="R18" s="282"/>
      <c r="S18" s="282"/>
      <c r="Z18" s="112" t="str">
        <f>Z122</f>
        <v xml:space="preserve"># tazas: </v>
      </c>
      <c r="AA18" s="27">
        <v>0</v>
      </c>
      <c r="AB18" s="114"/>
      <c r="BD18" s="70" t="str">
        <f>D18</f>
        <v xml:space="preserve">Espuma: </v>
      </c>
      <c r="BE18" s="27">
        <v>8</v>
      </c>
      <c r="BF18" s="114"/>
      <c r="BK18" s="70" t="str">
        <f>K18</f>
        <v xml:space="preserve">Quakers: </v>
      </c>
      <c r="BL18" s="27">
        <v>1</v>
      </c>
      <c r="BP18" s="213" t="str">
        <f>P18</f>
        <v xml:space="preserve">Cualidades: </v>
      </c>
      <c r="BQ18" s="282" t="s">
        <v>282</v>
      </c>
      <c r="BR18" s="282"/>
      <c r="BS18" s="282"/>
      <c r="BZ18" s="70" t="str">
        <f>Z18</f>
        <v xml:space="preserve"># tazas: </v>
      </c>
      <c r="CA18" s="27">
        <v>1</v>
      </c>
    </row>
    <row r="19" spans="2:82" x14ac:dyDescent="0.2">
      <c r="D19" s="112" t="str">
        <f>D123</f>
        <v>Cualidades 2-3:</v>
      </c>
      <c r="E19" s="282" t="s">
        <v>279</v>
      </c>
      <c r="F19" s="282"/>
      <c r="G19" s="282"/>
      <c r="K19" s="112" t="str">
        <f>K123</f>
        <v xml:space="preserve">Uniformidad tostado: </v>
      </c>
      <c r="L19" s="27">
        <v>0</v>
      </c>
      <c r="M19" s="82" t="s">
        <v>83</v>
      </c>
      <c r="P19" s="112" t="str">
        <f>P123</f>
        <v xml:space="preserve">Intensidad 1-5: </v>
      </c>
      <c r="Q19" s="16"/>
      <c r="U19" s="70" t="str">
        <f>U123</f>
        <v xml:space="preserve">Dulzor: </v>
      </c>
      <c r="V19" s="27">
        <v>0</v>
      </c>
      <c r="Z19" s="70" t="str">
        <f>Z123</f>
        <v xml:space="preserve">Intensidad: </v>
      </c>
      <c r="AA19" s="27">
        <v>0</v>
      </c>
      <c r="AB19" s="114" t="str">
        <f>AB123</f>
        <v>( 1 - 5 )     ( 4 = rechazo)</v>
      </c>
      <c r="AI19" s="82" t="s">
        <v>290</v>
      </c>
      <c r="BD19" s="213" t="str">
        <f>D19</f>
        <v>Cualidades 2-3:</v>
      </c>
      <c r="BE19" s="282" t="s">
        <v>279</v>
      </c>
      <c r="BF19" s="282"/>
      <c r="BG19" s="282"/>
      <c r="BK19" s="70" t="str">
        <f>K19</f>
        <v xml:space="preserve">Uniformidad tostado: </v>
      </c>
      <c r="BL19" s="27">
        <v>4</v>
      </c>
      <c r="BM19" s="82"/>
      <c r="BP19" s="213" t="str">
        <f>P19</f>
        <v xml:space="preserve">Intensidad 1-5: </v>
      </c>
      <c r="BQ19" s="16">
        <v>4</v>
      </c>
      <c r="BU19" s="70" t="str">
        <f>U19</f>
        <v xml:space="preserve">Dulzor: </v>
      </c>
      <c r="BV19" s="27">
        <v>3</v>
      </c>
      <c r="BZ19" s="70" t="str">
        <f>Z19</f>
        <v xml:space="preserve">Intensidad: </v>
      </c>
      <c r="CA19" s="27">
        <v>3</v>
      </c>
      <c r="CB19" s="114"/>
    </row>
    <row r="20" spans="2:82" ht="13.5" customHeight="1" x14ac:dyDescent="0.2">
      <c r="B20" s="115"/>
      <c r="C20" s="116"/>
      <c r="D20" s="88"/>
      <c r="E20" s="88"/>
      <c r="F20" s="88"/>
      <c r="G20" s="88"/>
      <c r="AH20" s="112"/>
      <c r="AI20" s="117">
        <v>350</v>
      </c>
      <c r="AJ20" s="68" t="s">
        <v>34</v>
      </c>
      <c r="BB20" s="115"/>
      <c r="BC20" s="116"/>
      <c r="BD20" s="88"/>
      <c r="BE20" s="88"/>
      <c r="BF20" s="88"/>
      <c r="BG20" s="88"/>
    </row>
    <row r="21" spans="2:82" hidden="1" x14ac:dyDescent="0.2">
      <c r="B21" s="118"/>
      <c r="C21" s="88"/>
      <c r="D21" s="88"/>
      <c r="E21" s="88"/>
      <c r="F21" s="119" t="s">
        <v>35</v>
      </c>
      <c r="G21" s="88"/>
      <c r="M21" s="119" t="s">
        <v>36</v>
      </c>
      <c r="BB21" s="118"/>
      <c r="BC21" s="88"/>
      <c r="BD21" s="88"/>
      <c r="BE21" s="88"/>
      <c r="BF21" s="119"/>
      <c r="BG21" s="88"/>
      <c r="BM21" s="119"/>
    </row>
    <row r="22" spans="2:82" ht="83.25" customHeight="1" x14ac:dyDescent="0.2">
      <c r="B22" s="120" t="str">
        <f>B126</f>
        <v>Criba</v>
      </c>
      <c r="C22" s="120" t="str">
        <f>C126</f>
        <v xml:space="preserve">Peso, g </v>
      </c>
      <c r="D22" s="121" t="s">
        <v>38</v>
      </c>
      <c r="E22" s="120" t="str">
        <f>E126</f>
        <v>Defectos, g</v>
      </c>
      <c r="F22" s="120" t="str">
        <f>F126</f>
        <v>Defectos, % en su criba</v>
      </c>
      <c r="G22" s="120"/>
      <c r="H22" s="122" t="str">
        <f t="shared" ref="H22:AD22" si="4">H126</f>
        <v>Broca Severa</v>
      </c>
      <c r="I22" s="123" t="str">
        <f t="shared" si="4"/>
        <v>Broca</v>
      </c>
      <c r="J22" s="122" t="str">
        <f t="shared" si="4"/>
        <v>Negro</v>
      </c>
      <c r="K22" s="123" t="str">
        <f t="shared" si="4"/>
        <v>Negro Parcial</v>
      </c>
      <c r="L22" s="122" t="str">
        <f t="shared" si="4"/>
        <v>Agrio</v>
      </c>
      <c r="M22" s="123" t="str">
        <f t="shared" si="4"/>
        <v>Agrio parcial</v>
      </c>
      <c r="N22" s="123" t="str">
        <f t="shared" si="4"/>
        <v>Aplastado</v>
      </c>
      <c r="O22" s="123" t="str">
        <f t="shared" si="4"/>
        <v>Daño</v>
      </c>
      <c r="P22" s="123" t="str">
        <f t="shared" si="4"/>
        <v>Dano y Agrio parcial</v>
      </c>
      <c r="Q22" s="123" t="str">
        <f t="shared" si="4"/>
        <v>Blanco</v>
      </c>
      <c r="R22" s="123" t="str">
        <f t="shared" si="4"/>
        <v>Elefante</v>
      </c>
      <c r="S22" s="123" t="str">
        <f t="shared" si="4"/>
        <v>Concha</v>
      </c>
      <c r="T22" s="123" t="str">
        <f t="shared" si="4"/>
        <v>Malformado</v>
      </c>
      <c r="U22" s="122" t="str">
        <f t="shared" si="4"/>
        <v>Daño de hongos</v>
      </c>
      <c r="V22" s="123" t="str">
        <f t="shared" si="4"/>
        <v>Inmaduro</v>
      </c>
      <c r="W22" s="123" t="str">
        <f t="shared" si="4"/>
        <v>Sobresecado</v>
      </c>
      <c r="X22" s="123" t="str">
        <f t="shared" si="4"/>
        <v>Arrugado</v>
      </c>
      <c r="Y22" s="123" t="str">
        <f t="shared" si="4"/>
        <v>Quebrado</v>
      </c>
      <c r="Z22" s="122" t="str">
        <f t="shared" si="4"/>
        <v>Cereza Seca</v>
      </c>
      <c r="AA22" s="123" t="str">
        <f t="shared" si="4"/>
        <v>Pergamino</v>
      </c>
      <c r="AB22" s="123" t="str">
        <f t="shared" si="4"/>
        <v>Cascara o pulpa seca</v>
      </c>
      <c r="AC22" s="124" t="str">
        <f t="shared" si="4"/>
        <v>Materia extraña</v>
      </c>
      <c r="AD22" s="274" t="str">
        <f t="shared" si="4"/>
        <v>Densidad de             los granos, g/cc</v>
      </c>
      <c r="BB22" s="120" t="str">
        <f>B22</f>
        <v>Criba</v>
      </c>
      <c r="BC22" s="120" t="str">
        <f>C22</f>
        <v xml:space="preserve">Peso, g </v>
      </c>
      <c r="BD22" s="120" t="str">
        <f>D22</f>
        <v>%</v>
      </c>
      <c r="BE22" s="120" t="str">
        <f>E22</f>
        <v>Defectos, g</v>
      </c>
      <c r="BF22" s="120" t="str">
        <f>F22</f>
        <v>Defectos, % en su criba</v>
      </c>
      <c r="BG22" s="120"/>
      <c r="BH22" s="122" t="str">
        <f t="shared" ref="BH22:CD22" si="5">H22</f>
        <v>Broca Severa</v>
      </c>
      <c r="BI22" s="123" t="str">
        <f t="shared" si="5"/>
        <v>Broca</v>
      </c>
      <c r="BJ22" s="122" t="str">
        <f t="shared" si="5"/>
        <v>Negro</v>
      </c>
      <c r="BK22" s="123" t="str">
        <f t="shared" si="5"/>
        <v>Negro Parcial</v>
      </c>
      <c r="BL22" s="122" t="str">
        <f t="shared" si="5"/>
        <v>Agrio</v>
      </c>
      <c r="BM22" s="123" t="str">
        <f t="shared" si="5"/>
        <v>Agrio parcial</v>
      </c>
      <c r="BN22" s="123" t="str">
        <f t="shared" si="5"/>
        <v>Aplastado</v>
      </c>
      <c r="BO22" s="123" t="str">
        <f t="shared" si="5"/>
        <v>Daño</v>
      </c>
      <c r="BP22" s="123" t="str">
        <f t="shared" si="5"/>
        <v>Dano y Agrio parcial</v>
      </c>
      <c r="BQ22" s="123" t="str">
        <f t="shared" si="5"/>
        <v>Blanco</v>
      </c>
      <c r="BR22" s="123" t="str">
        <f t="shared" si="5"/>
        <v>Elefante</v>
      </c>
      <c r="BS22" s="123" t="str">
        <f t="shared" si="5"/>
        <v>Concha</v>
      </c>
      <c r="BT22" s="123" t="str">
        <f t="shared" si="5"/>
        <v>Malformado</v>
      </c>
      <c r="BU22" s="122" t="str">
        <f t="shared" si="5"/>
        <v>Daño de hongos</v>
      </c>
      <c r="BV22" s="123" t="str">
        <f t="shared" si="5"/>
        <v>Inmaduro</v>
      </c>
      <c r="BW22" s="123" t="str">
        <f t="shared" si="5"/>
        <v>Sobresecado</v>
      </c>
      <c r="BX22" s="123" t="str">
        <f t="shared" si="5"/>
        <v>Arrugado</v>
      </c>
      <c r="BY22" s="123" t="str">
        <f t="shared" si="5"/>
        <v>Quebrado</v>
      </c>
      <c r="BZ22" s="122" t="str">
        <f t="shared" si="5"/>
        <v>Cereza Seca</v>
      </c>
      <c r="CA22" s="123" t="str">
        <f t="shared" si="5"/>
        <v>Pergamino</v>
      </c>
      <c r="CB22" s="123" t="str">
        <f t="shared" si="5"/>
        <v>Cascara o pulpa seca</v>
      </c>
      <c r="CC22" s="122" t="str">
        <f t="shared" si="5"/>
        <v>Materia extraña</v>
      </c>
      <c r="CD22" s="125" t="str">
        <f t="shared" si="5"/>
        <v>Densidad de             los granos, g/cc</v>
      </c>
    </row>
    <row r="23" spans="2:82" x14ac:dyDescent="0.2">
      <c r="B23" s="119"/>
      <c r="C23" s="119"/>
      <c r="D23" s="119"/>
      <c r="H23" s="119"/>
      <c r="AB23" s="126"/>
      <c r="BB23" s="119"/>
      <c r="BC23" s="119"/>
      <c r="BD23" s="119"/>
      <c r="BH23" s="119"/>
      <c r="CB23" s="126"/>
    </row>
    <row r="24" spans="2:82" x14ac:dyDescent="0.2">
      <c r="B24" s="119">
        <v>19</v>
      </c>
      <c r="C24" s="16">
        <v>0</v>
      </c>
      <c r="D24" s="127" t="e">
        <f t="shared" ref="D24:D29" si="6">100*C24/$C$30</f>
        <v>#DIV/0!</v>
      </c>
      <c r="E24" s="128">
        <f>E74</f>
        <v>0</v>
      </c>
      <c r="F24" s="127">
        <f>IF(C24=0,0,100*E24/C24)</f>
        <v>0</v>
      </c>
      <c r="G24" s="129"/>
      <c r="H24" s="43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5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30" t="str">
        <f>IF($L$8=0," ",IF($M$8=19,(L$8/AD92)/AD$85," "))</f>
        <v xml:space="preserve"> </v>
      </c>
      <c r="AH24" s="131" t="s">
        <v>61</v>
      </c>
      <c r="AI24" s="132" t="s">
        <v>62</v>
      </c>
      <c r="BB24" s="119">
        <f t="shared" ref="BB24:BB30" si="7">B24</f>
        <v>19</v>
      </c>
      <c r="BC24" s="16">
        <v>35</v>
      </c>
      <c r="BD24" s="127"/>
      <c r="BE24" s="128"/>
      <c r="BF24" s="127"/>
      <c r="BG24" s="129"/>
      <c r="BH24" s="43">
        <v>2</v>
      </c>
      <c r="BI24" s="44">
        <v>13</v>
      </c>
      <c r="BJ24" s="44"/>
      <c r="BK24" s="44"/>
      <c r="BL24" s="44"/>
      <c r="BM24" s="44"/>
      <c r="BN24" s="44"/>
      <c r="BO24" s="44"/>
      <c r="BP24" s="44"/>
      <c r="BQ24" s="44"/>
      <c r="BR24" s="44">
        <v>3</v>
      </c>
      <c r="BS24" s="44"/>
      <c r="BT24" s="44"/>
      <c r="BU24" s="44"/>
      <c r="BV24" s="44">
        <v>1</v>
      </c>
      <c r="BW24" s="44"/>
      <c r="BX24" s="45"/>
      <c r="BY24" s="16"/>
      <c r="BZ24" s="16"/>
      <c r="CA24" s="16"/>
      <c r="CB24" s="16"/>
      <c r="CC24" s="16"/>
      <c r="CD24" s="130"/>
    </row>
    <row r="25" spans="2:82" x14ac:dyDescent="0.2">
      <c r="B25" s="119">
        <v>18</v>
      </c>
      <c r="C25" s="16">
        <v>0</v>
      </c>
      <c r="D25" s="127" t="e">
        <f t="shared" si="6"/>
        <v>#DIV/0!</v>
      </c>
      <c r="E25" s="128">
        <f>E75</f>
        <v>0</v>
      </c>
      <c r="F25" s="127">
        <f>IF(C25=0,0,100*E25/C25)</f>
        <v>0</v>
      </c>
      <c r="G25" s="129"/>
      <c r="H25" s="46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8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30" t="str">
        <f>IF($L$8=0," ",IF($M$8=18,(L$8/AD93)/AD$85," "))</f>
        <v xml:space="preserve"> </v>
      </c>
      <c r="AH25" s="31">
        <v>0</v>
      </c>
      <c r="AI25" s="30">
        <v>0</v>
      </c>
      <c r="AJ25" s="29"/>
      <c r="AL25" s="82"/>
      <c r="BB25" s="119">
        <f t="shared" si="7"/>
        <v>18</v>
      </c>
      <c r="BC25" s="16">
        <v>85</v>
      </c>
      <c r="BD25" s="127"/>
      <c r="BE25" s="128"/>
      <c r="BF25" s="127"/>
      <c r="BG25" s="129"/>
      <c r="BH25" s="46">
        <v>1</v>
      </c>
      <c r="BI25" s="47">
        <v>8</v>
      </c>
      <c r="BJ25" s="47"/>
      <c r="BK25" s="47"/>
      <c r="BL25" s="47">
        <v>1</v>
      </c>
      <c r="BM25" s="47">
        <v>2</v>
      </c>
      <c r="BN25" s="47"/>
      <c r="BO25" s="47"/>
      <c r="BP25" s="47"/>
      <c r="BQ25" s="47"/>
      <c r="BR25" s="47"/>
      <c r="BS25" s="47">
        <v>4</v>
      </c>
      <c r="BT25" s="47"/>
      <c r="BU25" s="47"/>
      <c r="BV25" s="47">
        <v>2</v>
      </c>
      <c r="BW25" s="47"/>
      <c r="BX25" s="48"/>
      <c r="BY25" s="16"/>
      <c r="BZ25" s="16"/>
      <c r="CA25" s="16"/>
      <c r="CB25" s="16"/>
      <c r="CC25" s="16"/>
      <c r="CD25" s="130"/>
    </row>
    <row r="26" spans="2:82" x14ac:dyDescent="0.2">
      <c r="B26" s="119">
        <v>17</v>
      </c>
      <c r="C26" s="16">
        <v>0</v>
      </c>
      <c r="D26" s="127" t="e">
        <f t="shared" si="6"/>
        <v>#DIV/0!</v>
      </c>
      <c r="E26" s="128">
        <f>E76</f>
        <v>0</v>
      </c>
      <c r="F26" s="127">
        <f>IF(C26=0,0,100*E26/C26)</f>
        <v>0</v>
      </c>
      <c r="G26" s="129"/>
      <c r="H26" s="46">
        <v>0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8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30" t="str">
        <f>IF($L$8=0," ",IF($M$8=17,(L$8/AD94)/AD$85," "))</f>
        <v xml:space="preserve"> </v>
      </c>
      <c r="AH26" s="29" t="e">
        <f>H63</f>
        <v>#DIV/0!</v>
      </c>
      <c r="AI26" s="30">
        <v>0</v>
      </c>
      <c r="AJ26" s="29" t="str">
        <f>H22</f>
        <v>Broca Severa</v>
      </c>
      <c r="AL26" s="82"/>
      <c r="BB26" s="119">
        <f t="shared" si="7"/>
        <v>17</v>
      </c>
      <c r="BC26" s="16">
        <v>90</v>
      </c>
      <c r="BD26" s="127"/>
      <c r="BE26" s="128"/>
      <c r="BF26" s="127"/>
      <c r="BG26" s="129"/>
      <c r="BH26" s="46"/>
      <c r="BI26" s="47">
        <v>2</v>
      </c>
      <c r="BJ26" s="47"/>
      <c r="BK26" s="47"/>
      <c r="BL26" s="47"/>
      <c r="BM26" s="47">
        <v>1</v>
      </c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8"/>
      <c r="BY26" s="16"/>
      <c r="BZ26" s="16"/>
      <c r="CA26" s="16"/>
      <c r="CB26" s="16"/>
      <c r="CC26" s="16"/>
      <c r="CD26" s="130"/>
    </row>
    <row r="27" spans="2:82" x14ac:dyDescent="0.2">
      <c r="B27" s="119">
        <v>16</v>
      </c>
      <c r="C27" s="16">
        <v>0</v>
      </c>
      <c r="D27" s="127" t="e">
        <f t="shared" si="6"/>
        <v>#DIV/0!</v>
      </c>
      <c r="E27" s="128">
        <f>E77</f>
        <v>0</v>
      </c>
      <c r="F27" s="127">
        <f>IF(C27=0,0,100*E27/C27)</f>
        <v>0</v>
      </c>
      <c r="G27" s="129"/>
      <c r="H27" s="49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1">
        <v>0</v>
      </c>
      <c r="Y27" s="32">
        <v>0</v>
      </c>
      <c r="Z27" s="16">
        <v>0</v>
      </c>
      <c r="AA27" s="16">
        <v>0</v>
      </c>
      <c r="AB27" s="16">
        <v>0</v>
      </c>
      <c r="AC27" s="16">
        <v>0</v>
      </c>
      <c r="AD27" s="130" t="str">
        <f>IF($L$8=0," ",IF($M$8=16,(L$8/AD95)/AD$85," "))</f>
        <v xml:space="preserve"> </v>
      </c>
      <c r="AH27" s="31">
        <v>0</v>
      </c>
      <c r="AI27" s="33">
        <v>0</v>
      </c>
      <c r="AJ27" s="29"/>
      <c r="AL27" s="82"/>
      <c r="BB27" s="119">
        <f t="shared" si="7"/>
        <v>16</v>
      </c>
      <c r="BC27" s="16">
        <v>50</v>
      </c>
      <c r="BD27" s="127"/>
      <c r="BE27" s="128"/>
      <c r="BF27" s="127"/>
      <c r="BG27" s="129"/>
      <c r="BH27" s="49">
        <v>3</v>
      </c>
      <c r="BI27" s="50">
        <v>5</v>
      </c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>
        <v>4</v>
      </c>
      <c r="BW27" s="50"/>
      <c r="BX27" s="51"/>
      <c r="BY27" s="32"/>
      <c r="BZ27" s="32"/>
      <c r="CA27" s="32"/>
      <c r="CB27" s="32"/>
      <c r="CC27" s="32"/>
      <c r="CD27" s="130"/>
    </row>
    <row r="28" spans="2:82" x14ac:dyDescent="0.2">
      <c r="B28" s="119">
        <v>15</v>
      </c>
      <c r="C28" s="16">
        <v>0</v>
      </c>
      <c r="D28" s="127" t="e">
        <f t="shared" si="6"/>
        <v>#DIV/0!</v>
      </c>
      <c r="E28" s="128" t="str">
        <f>IF(F6&lt;&gt;"O"," ",IF(E78=0," ",E78))</f>
        <v xml:space="preserve"> </v>
      </c>
      <c r="F28" s="127">
        <f>IF(C28=0,0,IF(E28=" "," ",100*E28/C28))</f>
        <v>0</v>
      </c>
      <c r="G28" s="129"/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30"/>
      <c r="AH28" s="29">
        <v>0</v>
      </c>
      <c r="AI28" s="30" t="e">
        <f>I63</f>
        <v>#DIV/0!</v>
      </c>
      <c r="AJ28" s="30" t="str">
        <f>I22</f>
        <v>Broca</v>
      </c>
      <c r="AL28" s="82"/>
      <c r="BB28" s="119">
        <f t="shared" si="7"/>
        <v>15</v>
      </c>
      <c r="BC28" s="16">
        <v>14</v>
      </c>
      <c r="BD28" s="127"/>
      <c r="BE28" s="128"/>
      <c r="BF28" s="127"/>
      <c r="BG28" s="129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30"/>
    </row>
    <row r="29" spans="2:82" x14ac:dyDescent="0.2">
      <c r="B29" s="119" t="s">
        <v>63</v>
      </c>
      <c r="C29" s="16">
        <v>0</v>
      </c>
      <c r="D29" s="127" t="e">
        <f t="shared" si="6"/>
        <v>#DIV/0!</v>
      </c>
      <c r="E29" s="128" t="str">
        <f>IF(F6&lt;&gt;"O"," ",IF(E79=0," ",E79))</f>
        <v xml:space="preserve"> </v>
      </c>
      <c r="F29" s="127">
        <f>IF(C29=0,0,IF(E29=" "," ",100*E29/C29))</f>
        <v>0</v>
      </c>
      <c r="G29" s="129"/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36"/>
      <c r="AH29" s="31">
        <v>0</v>
      </c>
      <c r="AI29" s="30">
        <v>0</v>
      </c>
      <c r="AJ29" s="34"/>
      <c r="AL29" s="82"/>
      <c r="BB29" s="119" t="str">
        <f t="shared" si="7"/>
        <v>F</v>
      </c>
      <c r="BC29" s="16">
        <v>10</v>
      </c>
      <c r="BD29" s="127"/>
      <c r="BE29" s="128"/>
      <c r="BF29" s="127"/>
      <c r="BG29" s="129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32"/>
      <c r="CD29" s="136"/>
    </row>
    <row r="30" spans="2:82" x14ac:dyDescent="0.2">
      <c r="B30" s="138" t="s">
        <v>64</v>
      </c>
      <c r="C30" s="119">
        <f>SUM(C24:C29)</f>
        <v>0</v>
      </c>
      <c r="D30" s="127" t="e">
        <f>SUM(D24:D29)</f>
        <v>#DIV/0!</v>
      </c>
      <c r="E30" s="127">
        <f>SUM(E24:E29)</f>
        <v>0</v>
      </c>
      <c r="F30" s="127" t="e">
        <f>100*E30/C30</f>
        <v>#DIV/0!</v>
      </c>
      <c r="G30" s="112" t="s">
        <v>65</v>
      </c>
      <c r="H30" s="68">
        <f>IF($F$6="O",SUM(H24:H29),SUM(H24:H27))</f>
        <v>0</v>
      </c>
      <c r="I30" s="68">
        <f t="shared" ref="I30:X30" si="8">IF($F$6="O",SUM(I24:I29),SUM(I24:I27))</f>
        <v>0</v>
      </c>
      <c r="J30" s="68">
        <f t="shared" si="8"/>
        <v>0</v>
      </c>
      <c r="K30" s="68">
        <f t="shared" si="8"/>
        <v>0</v>
      </c>
      <c r="L30" s="68">
        <f t="shared" si="8"/>
        <v>0</v>
      </c>
      <c r="M30" s="68">
        <f t="shared" si="8"/>
        <v>0</v>
      </c>
      <c r="N30" s="68">
        <f t="shared" si="8"/>
        <v>0</v>
      </c>
      <c r="O30" s="68">
        <f t="shared" si="8"/>
        <v>0</v>
      </c>
      <c r="P30" s="68">
        <f t="shared" si="8"/>
        <v>0</v>
      </c>
      <c r="Q30" s="68">
        <f t="shared" si="8"/>
        <v>0</v>
      </c>
      <c r="R30" s="68">
        <f t="shared" si="8"/>
        <v>0</v>
      </c>
      <c r="S30" s="68">
        <f t="shared" si="8"/>
        <v>0</v>
      </c>
      <c r="T30" s="68">
        <f t="shared" si="8"/>
        <v>0</v>
      </c>
      <c r="U30" s="68">
        <f t="shared" si="8"/>
        <v>0</v>
      </c>
      <c r="V30" s="68">
        <f t="shared" si="8"/>
        <v>0</v>
      </c>
      <c r="W30" s="68">
        <f t="shared" si="8"/>
        <v>0</v>
      </c>
      <c r="X30" s="68">
        <f t="shared" si="8"/>
        <v>0</v>
      </c>
      <c r="Y30" s="68">
        <f>IF($F$6="O",SUM(Y24:Y29),0)</f>
        <v>0</v>
      </c>
      <c r="Z30" s="68">
        <f>IF($F$6="O",SUM(Z24:Z29),0)</f>
        <v>0</v>
      </c>
      <c r="AA30" s="68">
        <f>IF($F$6="O",SUM(AA24:AA29),0)</f>
        <v>0</v>
      </c>
      <c r="AB30" s="68">
        <f>IF($F$6="O",SUM(AB24:AB29),0)</f>
        <v>0</v>
      </c>
      <c r="AC30" s="68">
        <f>IF($F$6="O",SUM(AC24:AC29),0)</f>
        <v>0</v>
      </c>
      <c r="AD30" s="139"/>
      <c r="AH30" s="29" t="e">
        <f>J63</f>
        <v>#DIV/0!</v>
      </c>
      <c r="AI30" s="30">
        <v>0</v>
      </c>
      <c r="AJ30" s="35" t="str">
        <f>J22</f>
        <v>Negro</v>
      </c>
      <c r="AL30" s="82"/>
      <c r="BB30" s="119" t="str">
        <f t="shared" si="7"/>
        <v>Totales:</v>
      </c>
      <c r="BC30" s="119"/>
      <c r="BD30" s="127"/>
      <c r="BE30" s="127"/>
      <c r="BF30" s="127"/>
      <c r="BG30" s="112"/>
      <c r="CD30" s="139"/>
    </row>
    <row r="31" spans="2:82" x14ac:dyDescent="0.2">
      <c r="B31" s="141" t="e">
        <f>E94</f>
        <v>#DIV/0!</v>
      </c>
      <c r="C31" s="126" t="s">
        <v>85</v>
      </c>
      <c r="G31" s="112" t="s">
        <v>291</v>
      </c>
      <c r="H31" s="142" t="e">
        <f>(($AI$20/$C$30)*(IF($F$6&lt;&gt;"O",($C$30/SUM($C$24:$C$27)),1)))*H30</f>
        <v>#DIV/0!</v>
      </c>
      <c r="I31" s="142" t="e">
        <f t="shared" ref="I31:AC31" si="9">(($AI$20/$C$30)*(IF($F$6&lt;&gt;"O",($C$30/SUM($C$24:$C$27)),1)))*I30</f>
        <v>#DIV/0!</v>
      </c>
      <c r="J31" s="142" t="e">
        <f t="shared" si="9"/>
        <v>#DIV/0!</v>
      </c>
      <c r="K31" s="142" t="e">
        <f t="shared" si="9"/>
        <v>#DIV/0!</v>
      </c>
      <c r="L31" s="142" t="e">
        <f t="shared" si="9"/>
        <v>#DIV/0!</v>
      </c>
      <c r="M31" s="142" t="e">
        <f t="shared" si="9"/>
        <v>#DIV/0!</v>
      </c>
      <c r="N31" s="142" t="e">
        <f t="shared" si="9"/>
        <v>#DIV/0!</v>
      </c>
      <c r="O31" s="142" t="e">
        <f t="shared" si="9"/>
        <v>#DIV/0!</v>
      </c>
      <c r="P31" s="142" t="e">
        <f t="shared" si="9"/>
        <v>#DIV/0!</v>
      </c>
      <c r="Q31" s="142" t="e">
        <f t="shared" si="9"/>
        <v>#DIV/0!</v>
      </c>
      <c r="R31" s="142" t="e">
        <f t="shared" si="9"/>
        <v>#DIV/0!</v>
      </c>
      <c r="S31" s="142" t="e">
        <f t="shared" si="9"/>
        <v>#DIV/0!</v>
      </c>
      <c r="T31" s="142" t="e">
        <f t="shared" si="9"/>
        <v>#DIV/0!</v>
      </c>
      <c r="U31" s="142" t="e">
        <f t="shared" si="9"/>
        <v>#DIV/0!</v>
      </c>
      <c r="V31" s="142" t="e">
        <f t="shared" si="9"/>
        <v>#DIV/0!</v>
      </c>
      <c r="W31" s="142" t="e">
        <f t="shared" si="9"/>
        <v>#DIV/0!</v>
      </c>
      <c r="X31" s="142" t="e">
        <f t="shared" si="9"/>
        <v>#DIV/0!</v>
      </c>
      <c r="Y31" s="142" t="e">
        <f t="shared" si="9"/>
        <v>#DIV/0!</v>
      </c>
      <c r="Z31" s="142" t="e">
        <f t="shared" si="9"/>
        <v>#DIV/0!</v>
      </c>
      <c r="AA31" s="142" t="e">
        <f t="shared" si="9"/>
        <v>#DIV/0!</v>
      </c>
      <c r="AB31" s="142" t="e">
        <f t="shared" si="9"/>
        <v>#DIV/0!</v>
      </c>
      <c r="AC31" s="142" t="e">
        <f t="shared" si="9"/>
        <v>#DIV/0!</v>
      </c>
      <c r="AD31" s="88"/>
      <c r="AH31" s="31">
        <v>0</v>
      </c>
      <c r="AI31" s="30">
        <v>0</v>
      </c>
      <c r="AJ31" s="35"/>
      <c r="AL31" s="82"/>
      <c r="BB31" s="141"/>
      <c r="BC31" s="126" t="str">
        <f>C31</f>
        <v>Promedio ponderado</v>
      </c>
      <c r="BG31" s="11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88"/>
    </row>
    <row r="32" spans="2:82" x14ac:dyDescent="0.2">
      <c r="B32" s="88"/>
      <c r="C32" s="88"/>
      <c r="D32" s="88"/>
      <c r="E32" s="88"/>
      <c r="F32" s="88"/>
      <c r="G32" s="88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AD32" s="127"/>
      <c r="AH32" s="131">
        <v>0</v>
      </c>
      <c r="AI32" s="132" t="e">
        <f>K63</f>
        <v>#DIV/0!</v>
      </c>
      <c r="AJ32" s="132" t="str">
        <f>K22</f>
        <v>Negro Parcial</v>
      </c>
      <c r="AL32" s="82"/>
      <c r="BB32" s="88"/>
      <c r="BC32" s="88"/>
      <c r="BD32" s="88"/>
      <c r="BE32" s="88"/>
      <c r="BF32" s="88"/>
      <c r="BG32" s="88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CD32" s="127"/>
    </row>
    <row r="33" spans="30:83" x14ac:dyDescent="0.2">
      <c r="AD33" s="116"/>
      <c r="AH33" s="133">
        <v>0</v>
      </c>
      <c r="AI33" s="132">
        <v>0</v>
      </c>
      <c r="AJ33" s="137"/>
      <c r="AL33" s="82"/>
      <c r="CD33" s="116"/>
    </row>
    <row r="34" spans="30:83" x14ac:dyDescent="0.2">
      <c r="AH34" s="131" t="e">
        <f>L63</f>
        <v>#DIV/0!</v>
      </c>
      <c r="AI34" s="132">
        <v>0</v>
      </c>
      <c r="AJ34" s="140" t="str">
        <f>L22</f>
        <v>Agrio</v>
      </c>
      <c r="AL34" s="82"/>
    </row>
    <row r="35" spans="30:83" x14ac:dyDescent="0.2">
      <c r="AH35" s="133">
        <v>0</v>
      </c>
      <c r="AI35" s="135">
        <v>0</v>
      </c>
      <c r="AJ35" s="131"/>
      <c r="AL35" s="82"/>
    </row>
    <row r="36" spans="30:83" x14ac:dyDescent="0.2">
      <c r="AH36" s="131">
        <v>0</v>
      </c>
      <c r="AI36" s="132" t="e">
        <f>M63</f>
        <v>#DIV/0!</v>
      </c>
      <c r="AJ36" s="132" t="str">
        <f>M22</f>
        <v>Agrio parcial</v>
      </c>
      <c r="AL36" s="82"/>
    </row>
    <row r="37" spans="30:83" x14ac:dyDescent="0.2">
      <c r="AH37" s="133">
        <v>0</v>
      </c>
      <c r="AI37" s="132">
        <v>0</v>
      </c>
      <c r="AJ37" s="132"/>
      <c r="AL37" s="82"/>
    </row>
    <row r="38" spans="30:83" x14ac:dyDescent="0.2">
      <c r="AE38" s="143"/>
      <c r="AH38" s="131">
        <v>0</v>
      </c>
      <c r="AI38" s="132" t="e">
        <f>O63</f>
        <v>#DIV/0!</v>
      </c>
      <c r="AJ38" s="132" t="str">
        <f>O22</f>
        <v>Daño</v>
      </c>
      <c r="AL38" s="82"/>
      <c r="CE38" s="143"/>
    </row>
    <row r="39" spans="30:83" x14ac:dyDescent="0.2">
      <c r="AH39" s="131">
        <v>0</v>
      </c>
      <c r="AI39" s="132">
        <v>0</v>
      </c>
      <c r="AJ39" s="132"/>
      <c r="AL39" s="82"/>
    </row>
    <row r="40" spans="30:83" x14ac:dyDescent="0.2">
      <c r="AH40" s="131">
        <v>0</v>
      </c>
      <c r="AI40" s="132" t="e">
        <f>Q63</f>
        <v>#DIV/0!</v>
      </c>
      <c r="AJ40" s="132" t="str">
        <f>Q22</f>
        <v>Blanco</v>
      </c>
      <c r="AL40" s="82"/>
    </row>
    <row r="41" spans="30:83" x14ac:dyDescent="0.2">
      <c r="AH41" s="131">
        <v>0</v>
      </c>
      <c r="AI41" s="132">
        <v>0</v>
      </c>
      <c r="AJ41" s="132"/>
      <c r="AL41" s="82"/>
    </row>
    <row r="42" spans="30:83" x14ac:dyDescent="0.2">
      <c r="AH42" s="131">
        <v>0</v>
      </c>
      <c r="AI42" s="132">
        <f>S63</f>
        <v>0</v>
      </c>
      <c r="AJ42" s="132" t="str">
        <f>S22</f>
        <v>Concha</v>
      </c>
      <c r="AL42" s="82"/>
    </row>
    <row r="43" spans="30:83" x14ac:dyDescent="0.2">
      <c r="AH43" s="133">
        <v>0</v>
      </c>
      <c r="AI43" s="132">
        <v>0</v>
      </c>
      <c r="AJ43" s="132"/>
      <c r="AL43" s="82"/>
    </row>
    <row r="44" spans="30:83" x14ac:dyDescent="0.2">
      <c r="AH44" s="131" t="e">
        <f>U63</f>
        <v>#DIV/0!</v>
      </c>
      <c r="AI44" s="132">
        <v>0</v>
      </c>
      <c r="AJ44" s="131" t="str">
        <f>U22</f>
        <v>Daño de hongos</v>
      </c>
      <c r="AL44" s="82"/>
    </row>
    <row r="45" spans="30:83" x14ac:dyDescent="0.2">
      <c r="AH45" s="133">
        <v>0</v>
      </c>
      <c r="AI45" s="132">
        <v>0</v>
      </c>
      <c r="AJ45" s="140"/>
      <c r="AL45" s="82"/>
    </row>
    <row r="46" spans="30:83" x14ac:dyDescent="0.2">
      <c r="AH46" s="131">
        <v>0</v>
      </c>
      <c r="AI46" s="132" t="e">
        <f>V63</f>
        <v>#DIV/0!</v>
      </c>
      <c r="AJ46" s="132" t="str">
        <f>V22</f>
        <v>Inmaduro</v>
      </c>
      <c r="AL46" s="82"/>
    </row>
    <row r="47" spans="30:83" x14ac:dyDescent="0.2">
      <c r="AH47" s="131">
        <v>0</v>
      </c>
      <c r="AI47" s="132">
        <v>0</v>
      </c>
      <c r="AJ47" s="132"/>
      <c r="AL47" s="82"/>
    </row>
    <row r="48" spans="30:83" x14ac:dyDescent="0.2">
      <c r="AH48" s="131">
        <v>0</v>
      </c>
      <c r="AI48" s="132" t="e">
        <f>X63</f>
        <v>#DIV/0!</v>
      </c>
      <c r="AJ48" s="132" t="str">
        <f>X22</f>
        <v>Arrugado</v>
      </c>
      <c r="AL48" s="82"/>
    </row>
    <row r="49" spans="2:86" x14ac:dyDescent="0.2">
      <c r="AH49" s="131">
        <v>0</v>
      </c>
      <c r="AI49" s="132">
        <v>0</v>
      </c>
      <c r="AJ49" s="132"/>
      <c r="AL49" s="82"/>
    </row>
    <row r="50" spans="2:86" x14ac:dyDescent="0.2">
      <c r="AH50" s="131" t="e">
        <f>Z63</f>
        <v>#DIV/0!</v>
      </c>
      <c r="AI50" s="132">
        <v>0</v>
      </c>
      <c r="AJ50" s="131" t="str">
        <f>Z22</f>
        <v>Cereza Seca</v>
      </c>
      <c r="AL50" s="82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</row>
    <row r="51" spans="2:86" x14ac:dyDescent="0.2">
      <c r="AH51" s="131">
        <v>0</v>
      </c>
      <c r="AI51" s="132">
        <v>0</v>
      </c>
      <c r="AJ51" s="132"/>
      <c r="AL51" s="82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</row>
    <row r="52" spans="2:86" x14ac:dyDescent="0.2">
      <c r="AH52" s="131">
        <v>0</v>
      </c>
      <c r="AI52" s="132" t="e">
        <f>AA63</f>
        <v>#DIV/0!</v>
      </c>
      <c r="AJ52" s="132" t="str">
        <f>AA22</f>
        <v>Pergamino</v>
      </c>
      <c r="AL52" s="82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</row>
    <row r="53" spans="2:86" x14ac:dyDescent="0.2">
      <c r="AH53" s="131">
        <v>0</v>
      </c>
      <c r="AI53" s="132">
        <v>0</v>
      </c>
      <c r="AJ53" s="140"/>
      <c r="AL53" s="82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</row>
    <row r="54" spans="2:86" x14ac:dyDescent="0.2">
      <c r="AH54" s="131">
        <v>0</v>
      </c>
      <c r="AI54" s="132" t="e">
        <f>AB63</f>
        <v>#DIV/0!</v>
      </c>
      <c r="AJ54" s="132" t="str">
        <f>AB22</f>
        <v>Cascara o pulpa seca</v>
      </c>
      <c r="AL54" s="82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</row>
    <row r="55" spans="2:86" ht="13.5" thickBot="1" x14ac:dyDescent="0.25">
      <c r="AH55" s="131">
        <v>0</v>
      </c>
      <c r="AI55" s="132">
        <v>0</v>
      </c>
      <c r="AJ55" s="132"/>
      <c r="AL55" s="82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</row>
    <row r="56" spans="2:86" x14ac:dyDescent="0.2">
      <c r="B56" s="144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6"/>
      <c r="U56" s="273"/>
      <c r="V56" s="273"/>
      <c r="W56" s="273"/>
      <c r="X56" s="273"/>
      <c r="Y56" s="273"/>
      <c r="Z56" s="273"/>
      <c r="AA56" s="273"/>
      <c r="AB56" s="273"/>
      <c r="AC56" s="273"/>
      <c r="AH56" s="147" t="e">
        <f>AC63</f>
        <v>#DIV/0!</v>
      </c>
      <c r="AI56" s="148">
        <v>0</v>
      </c>
      <c r="AJ56" s="147" t="str">
        <f>AC22</f>
        <v>Materia extraña</v>
      </c>
      <c r="AL56" s="82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</row>
    <row r="57" spans="2:86" x14ac:dyDescent="0.2">
      <c r="B57" s="149"/>
      <c r="C57" s="116" t="s">
        <v>187</v>
      </c>
      <c r="D57" s="67" t="s">
        <v>270</v>
      </c>
      <c r="E57" s="88"/>
      <c r="F57" s="88" t="s">
        <v>104</v>
      </c>
      <c r="G57" s="88"/>
      <c r="H57" s="88" t="s">
        <v>105</v>
      </c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150"/>
      <c r="U57" s="273"/>
      <c r="V57" s="273"/>
      <c r="W57" s="273"/>
      <c r="X57" s="273"/>
      <c r="Y57" s="273"/>
      <c r="Z57" s="273"/>
      <c r="AA57" s="273"/>
      <c r="AB57" s="273"/>
      <c r="AC57" s="273"/>
      <c r="AH57" s="151">
        <v>0</v>
      </c>
      <c r="AI57" s="132">
        <v>0</v>
      </c>
      <c r="AL57" s="82"/>
      <c r="AZ57" s="69"/>
      <c r="BA57" s="69"/>
      <c r="BB57" s="69"/>
      <c r="BC57" s="70"/>
      <c r="BD57" s="66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</row>
    <row r="58" spans="2:86" ht="13.5" thickBot="1" x14ac:dyDescent="0.25"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4"/>
      <c r="U58" s="273"/>
      <c r="V58" s="273"/>
      <c r="W58" s="273"/>
      <c r="X58" s="273"/>
      <c r="Y58" s="273"/>
      <c r="Z58" s="273"/>
      <c r="AA58" s="273"/>
      <c r="AB58" s="273"/>
      <c r="AC58" s="273"/>
      <c r="AH58" s="151"/>
      <c r="AI58" s="132"/>
      <c r="AL58" s="82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</row>
    <row r="59" spans="2:86" x14ac:dyDescent="0.2">
      <c r="AH59" s="151"/>
      <c r="AI59" s="132"/>
      <c r="AL59" s="82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</row>
    <row r="60" spans="2:86" x14ac:dyDescent="0.2">
      <c r="G60" s="112" t="s">
        <v>66</v>
      </c>
      <c r="H60" s="155">
        <v>5</v>
      </c>
      <c r="I60" s="155">
        <v>10</v>
      </c>
      <c r="J60" s="155">
        <v>1</v>
      </c>
      <c r="K60" s="155">
        <v>3</v>
      </c>
      <c r="L60" s="155">
        <v>1</v>
      </c>
      <c r="M60" s="155">
        <v>3</v>
      </c>
      <c r="N60" s="155">
        <v>5</v>
      </c>
      <c r="O60" s="155">
        <v>5</v>
      </c>
      <c r="P60" s="155">
        <v>3</v>
      </c>
      <c r="Q60" s="155">
        <v>5</v>
      </c>
      <c r="R60" s="155"/>
      <c r="S60" s="155">
        <v>5</v>
      </c>
      <c r="T60" s="155"/>
      <c r="U60" s="155">
        <v>1</v>
      </c>
      <c r="V60" s="155">
        <v>5</v>
      </c>
      <c r="W60" s="155"/>
      <c r="X60" s="155">
        <v>5</v>
      </c>
      <c r="Y60" s="155">
        <v>5</v>
      </c>
      <c r="Z60" s="155">
        <v>1</v>
      </c>
      <c r="AA60" s="155">
        <v>5</v>
      </c>
      <c r="AB60" s="155">
        <v>5</v>
      </c>
      <c r="AC60" s="155">
        <v>1</v>
      </c>
      <c r="AH60" s="151"/>
      <c r="AI60" s="156" t="s">
        <v>188</v>
      </c>
      <c r="AJ60" s="157" t="str">
        <f>AJ105</f>
        <v>Cuenta de Defectos</v>
      </c>
      <c r="AK60" s="158"/>
      <c r="AL60" s="158"/>
      <c r="AM60" s="158"/>
      <c r="AN60" s="159"/>
      <c r="AZ60" s="69"/>
      <c r="BA60" s="69"/>
      <c r="BB60" s="69"/>
      <c r="BC60" s="69"/>
      <c r="BD60" s="69"/>
      <c r="BE60" s="69"/>
      <c r="BF60" s="69"/>
      <c r="BG60" s="213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</row>
    <row r="61" spans="2:86" x14ac:dyDescent="0.2">
      <c r="G61" s="112"/>
      <c r="AH61" s="151"/>
      <c r="AI61" s="132"/>
      <c r="AL61" s="82"/>
      <c r="AZ61" s="69"/>
      <c r="BA61" s="69"/>
      <c r="BB61" s="69"/>
      <c r="BC61" s="69"/>
      <c r="BD61" s="69"/>
      <c r="BE61" s="69"/>
      <c r="BF61" s="69"/>
      <c r="BG61" s="213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</row>
    <row r="62" spans="2:86" x14ac:dyDescent="0.2">
      <c r="G62" s="112" t="s">
        <v>214</v>
      </c>
      <c r="H62" s="68" t="e">
        <f t="shared" ref="H62:Q62" si="10">TRUNC(H31/H60)</f>
        <v>#DIV/0!</v>
      </c>
      <c r="I62" s="68" t="e">
        <f t="shared" si="10"/>
        <v>#DIV/0!</v>
      </c>
      <c r="J62" s="68" t="e">
        <f t="shared" si="10"/>
        <v>#DIV/0!</v>
      </c>
      <c r="K62" s="68" t="e">
        <f t="shared" si="10"/>
        <v>#DIV/0!</v>
      </c>
      <c r="L62" s="68" t="e">
        <f t="shared" si="10"/>
        <v>#DIV/0!</v>
      </c>
      <c r="M62" s="68" t="e">
        <f t="shared" si="10"/>
        <v>#DIV/0!</v>
      </c>
      <c r="N62" s="68" t="e">
        <f t="shared" si="10"/>
        <v>#DIV/0!</v>
      </c>
      <c r="O62" s="68" t="e">
        <f t="shared" si="10"/>
        <v>#DIV/0!</v>
      </c>
      <c r="P62" s="68" t="e">
        <f t="shared" si="10"/>
        <v>#DIV/0!</v>
      </c>
      <c r="Q62" s="68" t="e">
        <f t="shared" si="10"/>
        <v>#DIV/0!</v>
      </c>
      <c r="S62" s="68">
        <f>IF(F6="O",TRUNC(S31/S60),0)</f>
        <v>0</v>
      </c>
      <c r="U62" s="68" t="e">
        <f>TRUNC(U31/U60)</f>
        <v>#DIV/0!</v>
      </c>
      <c r="V62" s="68" t="e">
        <f>TRUNC(V31/V60)</f>
        <v>#DIV/0!</v>
      </c>
      <c r="X62" s="68" t="e">
        <f t="shared" ref="X62:AC62" si="11">TRUNC(X31/X60)</f>
        <v>#DIV/0!</v>
      </c>
      <c r="Y62" s="68" t="e">
        <f t="shared" si="11"/>
        <v>#DIV/0!</v>
      </c>
      <c r="Z62" s="68" t="e">
        <f t="shared" si="11"/>
        <v>#DIV/0!</v>
      </c>
      <c r="AA62" s="68" t="e">
        <f t="shared" si="11"/>
        <v>#DIV/0!</v>
      </c>
      <c r="AB62" s="68" t="e">
        <f t="shared" si="11"/>
        <v>#DIV/0!</v>
      </c>
      <c r="AC62" s="68" t="e">
        <f t="shared" si="11"/>
        <v>#DIV/0!</v>
      </c>
      <c r="AH62" s="151"/>
      <c r="AI62" s="132"/>
      <c r="AZ62" s="69"/>
      <c r="BA62" s="69"/>
      <c r="BB62" s="69"/>
      <c r="BC62" s="69"/>
      <c r="BD62" s="69"/>
      <c r="BE62" s="69"/>
      <c r="BF62" s="69"/>
      <c r="BG62" s="213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</row>
    <row r="63" spans="2:86" x14ac:dyDescent="0.2">
      <c r="G63" s="112" t="s">
        <v>67</v>
      </c>
      <c r="H63" s="160" t="e">
        <f>H62</f>
        <v>#DIV/0!</v>
      </c>
      <c r="I63" s="160" t="e">
        <f>I62</f>
        <v>#DIV/0!</v>
      </c>
      <c r="J63" s="160" t="e">
        <f>J62</f>
        <v>#DIV/0!</v>
      </c>
      <c r="K63" s="160" t="e">
        <f>K62</f>
        <v>#DIV/0!</v>
      </c>
      <c r="L63" s="160" t="e">
        <f>L62</f>
        <v>#DIV/0!</v>
      </c>
      <c r="M63" s="160" t="e">
        <f>TRUNC((M31+P31)/M60)</f>
        <v>#DIV/0!</v>
      </c>
      <c r="N63" s="160"/>
      <c r="O63" s="160" t="e">
        <f>IF(F6="O",TRUNC((N31+O31+Y31)/O60), TRUNC((N31+O31)/O60))</f>
        <v>#DIV/0!</v>
      </c>
      <c r="P63" s="160"/>
      <c r="Q63" s="160" t="e">
        <f>Q62</f>
        <v>#DIV/0!</v>
      </c>
      <c r="R63" s="160"/>
      <c r="S63" s="160">
        <f>S62</f>
        <v>0</v>
      </c>
      <c r="T63" s="160"/>
      <c r="U63" s="160" t="e">
        <f>U62</f>
        <v>#DIV/0!</v>
      </c>
      <c r="V63" s="160" t="e">
        <f>V62</f>
        <v>#DIV/0!</v>
      </c>
      <c r="W63" s="160"/>
      <c r="X63" s="160" t="e">
        <f t="shared" ref="X63:AC63" si="12">X62</f>
        <v>#DIV/0!</v>
      </c>
      <c r="Y63" s="160" t="e">
        <f t="shared" si="12"/>
        <v>#DIV/0!</v>
      </c>
      <c r="Z63" s="160" t="e">
        <f t="shared" si="12"/>
        <v>#DIV/0!</v>
      </c>
      <c r="AA63" s="160" t="e">
        <f t="shared" si="12"/>
        <v>#DIV/0!</v>
      </c>
      <c r="AB63" s="160" t="e">
        <f t="shared" si="12"/>
        <v>#DIV/0!</v>
      </c>
      <c r="AC63" s="160" t="e">
        <f t="shared" si="12"/>
        <v>#DIV/0!</v>
      </c>
      <c r="AD63" s="161" t="e">
        <f>SUM(H63:AC63)</f>
        <v>#DIV/0!</v>
      </c>
      <c r="AH63" s="151"/>
      <c r="AI63" s="132"/>
      <c r="AL63" s="82"/>
      <c r="AZ63" s="69"/>
      <c r="BA63" s="69"/>
      <c r="BB63" s="69"/>
      <c r="BC63" s="69"/>
      <c r="BD63" s="69"/>
      <c r="BE63" s="69"/>
      <c r="BF63" s="69"/>
      <c r="BG63" s="213"/>
      <c r="BH63" s="251"/>
      <c r="BI63" s="251"/>
      <c r="BJ63" s="251"/>
      <c r="BK63" s="251"/>
      <c r="BL63" s="251"/>
      <c r="BM63" s="251"/>
      <c r="BN63" s="251"/>
      <c r="BO63" s="251"/>
      <c r="BP63" s="251"/>
      <c r="BQ63" s="251"/>
      <c r="BR63" s="251"/>
      <c r="BS63" s="251"/>
      <c r="BT63" s="251"/>
      <c r="BU63" s="251"/>
      <c r="BV63" s="251"/>
      <c r="BW63" s="251"/>
      <c r="BX63" s="251"/>
      <c r="BY63" s="251"/>
      <c r="BZ63" s="251"/>
      <c r="CA63" s="251"/>
      <c r="CB63" s="251"/>
      <c r="CC63" s="251"/>
      <c r="CD63" s="252"/>
      <c r="CE63" s="69"/>
      <c r="CF63" s="69"/>
      <c r="CG63" s="69"/>
      <c r="CH63" s="69"/>
    </row>
    <row r="64" spans="2:86" x14ac:dyDescent="0.2">
      <c r="AD64" s="68" t="str">
        <f>IF(F6="O","SCAA","SCAA Crudo")</f>
        <v>SCAA Crudo</v>
      </c>
      <c r="AH64" s="151"/>
      <c r="AI64" s="132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</row>
    <row r="65" spans="2:86" x14ac:dyDescent="0.2">
      <c r="AH65" s="151"/>
      <c r="AI65" s="132"/>
      <c r="AL65" s="82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</row>
    <row r="66" spans="2:86" x14ac:dyDescent="0.2">
      <c r="G66" s="112" t="s">
        <v>215</v>
      </c>
      <c r="H66" s="155">
        <v>0.6</v>
      </c>
      <c r="I66" s="155">
        <v>0.1</v>
      </c>
      <c r="J66" s="155">
        <v>0.2</v>
      </c>
      <c r="K66" s="155">
        <v>0.1</v>
      </c>
      <c r="L66" s="155">
        <v>0.1</v>
      </c>
      <c r="M66" s="155">
        <v>0.1</v>
      </c>
      <c r="N66" s="155">
        <v>0.2</v>
      </c>
      <c r="O66" s="155">
        <v>0.6</v>
      </c>
      <c r="P66" s="155">
        <v>0.6</v>
      </c>
      <c r="Q66" s="155">
        <v>0.5</v>
      </c>
      <c r="R66" s="155"/>
      <c r="S66" s="155"/>
      <c r="T66" s="155"/>
      <c r="U66" s="155">
        <v>0.1</v>
      </c>
      <c r="V66" s="155">
        <v>0</v>
      </c>
      <c r="W66" s="155"/>
      <c r="X66" s="155">
        <v>0.2</v>
      </c>
      <c r="AH66" s="151"/>
      <c r="AI66" s="148"/>
      <c r="AJ66" s="68" t="str">
        <f>AJ111</f>
        <v>Porcentaje por peso</v>
      </c>
      <c r="AL66" s="82"/>
      <c r="AZ66" s="69"/>
      <c r="BA66" s="69"/>
      <c r="BB66" s="69"/>
      <c r="BC66" s="69"/>
      <c r="BD66" s="69"/>
      <c r="BE66" s="69"/>
      <c r="BF66" s="69"/>
      <c r="BG66" s="213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</row>
    <row r="67" spans="2:86" x14ac:dyDescent="0.2">
      <c r="G67" s="112" t="s">
        <v>205</v>
      </c>
      <c r="H67" s="142" t="e">
        <f>H31-(H31*H66)</f>
        <v>#DIV/0!</v>
      </c>
      <c r="I67" s="142" t="e">
        <f t="shared" ref="I67:Q67" si="13">I31-(I31*I66)</f>
        <v>#DIV/0!</v>
      </c>
      <c r="J67" s="142" t="e">
        <f t="shared" si="13"/>
        <v>#DIV/0!</v>
      </c>
      <c r="K67" s="142" t="e">
        <f t="shared" si="13"/>
        <v>#DIV/0!</v>
      </c>
      <c r="L67" s="142" t="e">
        <f t="shared" si="13"/>
        <v>#DIV/0!</v>
      </c>
      <c r="M67" s="142" t="e">
        <f t="shared" si="13"/>
        <v>#DIV/0!</v>
      </c>
      <c r="N67" s="142" t="e">
        <f t="shared" si="13"/>
        <v>#DIV/0!</v>
      </c>
      <c r="O67" s="142" t="e">
        <f t="shared" si="13"/>
        <v>#DIV/0!</v>
      </c>
      <c r="P67" s="142" t="e">
        <f t="shared" si="13"/>
        <v>#DIV/0!</v>
      </c>
      <c r="Q67" s="142" t="e">
        <f t="shared" si="13"/>
        <v>#DIV/0!</v>
      </c>
      <c r="R67" s="142"/>
      <c r="S67" s="142"/>
      <c r="T67" s="142"/>
      <c r="U67" s="142" t="e">
        <f>U31-(U31*U66)</f>
        <v>#DIV/0!</v>
      </c>
      <c r="V67" s="142" t="e">
        <f>V31-(V31*V66)</f>
        <v>#DIV/0!</v>
      </c>
      <c r="W67" s="142"/>
      <c r="X67" s="142" t="e">
        <f>X31-(X31*X66)</f>
        <v>#DIV/0!</v>
      </c>
      <c r="AH67" s="151"/>
      <c r="AI67" s="162"/>
      <c r="AL67" s="82"/>
      <c r="AZ67" s="69"/>
      <c r="BA67" s="69"/>
      <c r="BB67" s="69"/>
      <c r="BC67" s="69"/>
      <c r="BD67" s="69"/>
      <c r="BE67" s="69"/>
      <c r="BF67" s="69"/>
      <c r="BG67" s="213"/>
      <c r="BH67" s="253"/>
      <c r="BI67" s="253"/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69"/>
      <c r="BZ67" s="69"/>
      <c r="CA67" s="69"/>
      <c r="CB67" s="69"/>
      <c r="CC67" s="69"/>
      <c r="CD67" s="69"/>
      <c r="CE67" s="69"/>
      <c r="CF67" s="69"/>
      <c r="CG67" s="69"/>
      <c r="CH67" s="69"/>
    </row>
    <row r="68" spans="2:86" x14ac:dyDescent="0.2">
      <c r="G68" s="112" t="s">
        <v>68</v>
      </c>
      <c r="H68" s="68" t="e">
        <f t="shared" ref="H68:P68" si="14">TRUNC(H67/H60)</f>
        <v>#DIV/0!</v>
      </c>
      <c r="I68" s="68" t="e">
        <f t="shared" si="14"/>
        <v>#DIV/0!</v>
      </c>
      <c r="J68" s="68" t="e">
        <f t="shared" si="14"/>
        <v>#DIV/0!</v>
      </c>
      <c r="K68" s="68" t="e">
        <f t="shared" si="14"/>
        <v>#DIV/0!</v>
      </c>
      <c r="L68" s="68" t="e">
        <f>TRUNC(L67/L60)</f>
        <v>#DIV/0!</v>
      </c>
      <c r="M68" s="68" t="e">
        <f t="shared" si="14"/>
        <v>#DIV/0!</v>
      </c>
      <c r="N68" s="68" t="e">
        <f t="shared" si="14"/>
        <v>#DIV/0!</v>
      </c>
      <c r="O68" s="68" t="e">
        <f t="shared" si="14"/>
        <v>#DIV/0!</v>
      </c>
      <c r="P68" s="68" t="e">
        <f t="shared" si="14"/>
        <v>#DIV/0!</v>
      </c>
      <c r="Q68" s="68" t="e">
        <f>TRUNC(Q67/Q60)</f>
        <v>#DIV/0!</v>
      </c>
      <c r="U68" s="68" t="e">
        <f>TRUNC(U67/U60)</f>
        <v>#DIV/0!</v>
      </c>
      <c r="V68" s="68" t="e">
        <f>TRUNC(V67/V60)</f>
        <v>#DIV/0!</v>
      </c>
      <c r="X68" s="68" t="e">
        <f>TRUNC(X67/X60)</f>
        <v>#DIV/0!</v>
      </c>
      <c r="AH68" s="151"/>
      <c r="AI68" s="162"/>
      <c r="AJ68" s="68" t="str">
        <f>AJ113</f>
        <v>Granos</v>
      </c>
      <c r="AL68" s="68" t="str">
        <f>AL113</f>
        <v>Defectos</v>
      </c>
      <c r="AZ68" s="69"/>
      <c r="BA68" s="69"/>
      <c r="BB68" s="69"/>
      <c r="BC68" s="69"/>
      <c r="BD68" s="69"/>
      <c r="BE68" s="69"/>
      <c r="BF68" s="69"/>
      <c r="BG68" s="213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</row>
    <row r="69" spans="2:86" x14ac:dyDescent="0.2">
      <c r="G69" s="112" t="s">
        <v>69</v>
      </c>
      <c r="H69" s="163" t="e">
        <f>H68</f>
        <v>#DIV/0!</v>
      </c>
      <c r="I69" s="163" t="e">
        <f>I68</f>
        <v>#DIV/0!</v>
      </c>
      <c r="J69" s="163" t="e">
        <f>J68</f>
        <v>#DIV/0!</v>
      </c>
      <c r="K69" s="163" t="e">
        <f>K68</f>
        <v>#DIV/0!</v>
      </c>
      <c r="L69" s="163" t="e">
        <f>L68</f>
        <v>#DIV/0!</v>
      </c>
      <c r="M69" s="163" t="e">
        <f>TRUNC((M67+P67)/M60)</f>
        <v>#DIV/0!</v>
      </c>
      <c r="N69" s="163"/>
      <c r="O69" s="163" t="e">
        <f>TRUNC((N67+O67)/O60)</f>
        <v>#DIV/0!</v>
      </c>
      <c r="P69" s="163"/>
      <c r="Q69" s="163" t="e">
        <f>Q68</f>
        <v>#DIV/0!</v>
      </c>
      <c r="R69" s="163"/>
      <c r="S69" s="163"/>
      <c r="T69" s="163"/>
      <c r="U69" s="163" t="e">
        <f>U68</f>
        <v>#DIV/0!</v>
      </c>
      <c r="V69" s="163" t="e">
        <f>V68</f>
        <v>#DIV/0!</v>
      </c>
      <c r="W69" s="163"/>
      <c r="X69" s="163" t="e">
        <f>X68</f>
        <v>#DIV/0!</v>
      </c>
      <c r="Y69" s="163"/>
      <c r="Z69" s="163"/>
      <c r="AA69" s="163"/>
      <c r="AB69" s="163"/>
      <c r="AC69" s="163"/>
      <c r="AD69" s="164" t="e">
        <f>IF($F6="O"," ",SUM(H69:X69))</f>
        <v>#DIV/0!</v>
      </c>
      <c r="AZ69" s="69"/>
      <c r="BA69" s="69"/>
      <c r="BB69" s="69"/>
      <c r="BC69" s="69"/>
      <c r="BD69" s="69"/>
      <c r="BE69" s="69"/>
      <c r="BF69" s="69"/>
      <c r="BG69" s="213"/>
      <c r="BH69" s="254"/>
      <c r="BI69" s="254"/>
      <c r="BJ69" s="254"/>
      <c r="BK69" s="254"/>
      <c r="BL69" s="254"/>
      <c r="BM69" s="254"/>
      <c r="BN69" s="254"/>
      <c r="BO69" s="254"/>
      <c r="BP69" s="254"/>
      <c r="BQ69" s="254"/>
      <c r="BR69" s="254"/>
      <c r="BS69" s="254"/>
      <c r="BT69" s="254"/>
      <c r="BU69" s="254"/>
      <c r="BV69" s="254"/>
      <c r="BW69" s="254"/>
      <c r="BX69" s="254"/>
      <c r="BY69" s="254"/>
      <c r="BZ69" s="254"/>
      <c r="CA69" s="254"/>
      <c r="CB69" s="254"/>
      <c r="CC69" s="254"/>
      <c r="CD69" s="113"/>
      <c r="CE69" s="69"/>
      <c r="CF69" s="69"/>
      <c r="CG69" s="69"/>
      <c r="CH69" s="69"/>
    </row>
    <row r="70" spans="2:86" x14ac:dyDescent="0.2">
      <c r="AD70" s="138" t="str">
        <f>IF(F6="O"," ","SCAA Anticipado")</f>
        <v>SCAA Anticipado</v>
      </c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213"/>
      <c r="CE70" s="69"/>
      <c r="CF70" s="69"/>
      <c r="CG70" s="69"/>
      <c r="CH70" s="69"/>
    </row>
    <row r="71" spans="2:86" x14ac:dyDescent="0.2"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</row>
    <row r="72" spans="2:86" x14ac:dyDescent="0.2">
      <c r="C72" s="165"/>
      <c r="D72" s="165"/>
      <c r="E72" s="165"/>
      <c r="F72" s="165"/>
      <c r="G72" s="166" t="s">
        <v>206</v>
      </c>
      <c r="H72" s="167">
        <v>60</v>
      </c>
      <c r="I72" s="167">
        <v>99</v>
      </c>
      <c r="J72" s="167">
        <v>100</v>
      </c>
      <c r="K72" s="167">
        <v>100</v>
      </c>
      <c r="L72" s="167">
        <v>100</v>
      </c>
      <c r="M72" s="167">
        <v>100</v>
      </c>
      <c r="N72" s="167">
        <v>100</v>
      </c>
      <c r="O72" s="167">
        <v>90</v>
      </c>
      <c r="P72" s="167">
        <v>90</v>
      </c>
      <c r="Q72" s="167">
        <v>97</v>
      </c>
      <c r="R72" s="167">
        <v>100</v>
      </c>
      <c r="S72" s="167">
        <v>25</v>
      </c>
      <c r="T72" s="167"/>
      <c r="U72" s="167">
        <v>100</v>
      </c>
      <c r="V72" s="167">
        <v>100</v>
      </c>
      <c r="W72" s="167">
        <v>100</v>
      </c>
      <c r="X72" s="168">
        <v>100</v>
      </c>
      <c r="Y72" s="168">
        <v>100</v>
      </c>
      <c r="Z72" s="168">
        <v>266</v>
      </c>
      <c r="AA72" s="168">
        <v>120</v>
      </c>
      <c r="AB72" s="168">
        <v>70</v>
      </c>
      <c r="AC72" s="168">
        <v>200</v>
      </c>
      <c r="AD72" s="169" t="s">
        <v>207</v>
      </c>
      <c r="AE72" s="170"/>
      <c r="AF72" s="171"/>
      <c r="AZ72" s="69"/>
      <c r="BA72" s="69"/>
      <c r="BB72" s="69"/>
      <c r="BC72" s="69"/>
      <c r="BD72" s="69"/>
      <c r="BE72" s="69"/>
      <c r="BF72" s="69"/>
      <c r="BG72" s="213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</row>
    <row r="73" spans="2:86" x14ac:dyDescent="0.2">
      <c r="B73" s="68" t="s">
        <v>37</v>
      </c>
      <c r="C73" s="68" t="s">
        <v>209</v>
      </c>
      <c r="E73" s="68" t="s">
        <v>210</v>
      </c>
      <c r="F73" s="114" t="s">
        <v>70</v>
      </c>
      <c r="G73" s="82" t="s">
        <v>38</v>
      </c>
      <c r="H73" s="165"/>
      <c r="I73" s="165"/>
      <c r="J73" s="165"/>
      <c r="K73" s="165"/>
      <c r="L73" s="165"/>
      <c r="M73" s="165"/>
      <c r="N73" s="172" t="s">
        <v>208</v>
      </c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Z73" s="69"/>
      <c r="BA73" s="69"/>
      <c r="BB73" s="69"/>
      <c r="BC73" s="69"/>
      <c r="BD73" s="69"/>
      <c r="BE73" s="69"/>
      <c r="BF73" s="197"/>
      <c r="BG73" s="8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</row>
    <row r="74" spans="2:86" x14ac:dyDescent="0.2">
      <c r="B74" s="82">
        <v>19</v>
      </c>
      <c r="C74" s="68">
        <f t="shared" ref="C74:C79" si="15">C24</f>
        <v>0</v>
      </c>
      <c r="E74" s="130">
        <f>IF(F6&lt;&gt;"O",F74*(H74+I74+J74+K74+L74+M74+N74+O74+P74+Q74+U74+V74+W74+X74),0.192307692307692*(H74+I74+J74+K74+L74+M74+N74+O74+P74+Q74+U74+V74+W74+X74+Y74+Z74+AA74+AB74+AC74))</f>
        <v>0</v>
      </c>
      <c r="F74" s="173">
        <v>0.19230769230769201</v>
      </c>
      <c r="G74" s="129">
        <f t="shared" ref="G74:G79" si="16">F24</f>
        <v>0</v>
      </c>
      <c r="H74" s="68">
        <f>$F74*H24*H$72/100</f>
        <v>0</v>
      </c>
      <c r="I74" s="68">
        <f t="shared" ref="I74:AC74" si="17">$F74*I24*I$72/100</f>
        <v>0</v>
      </c>
      <c r="J74" s="68">
        <f t="shared" si="17"/>
        <v>0</v>
      </c>
      <c r="K74" s="68">
        <f t="shared" si="17"/>
        <v>0</v>
      </c>
      <c r="L74" s="68">
        <f t="shared" si="17"/>
        <v>0</v>
      </c>
      <c r="M74" s="68">
        <f t="shared" si="17"/>
        <v>0</v>
      </c>
      <c r="N74" s="68">
        <f t="shared" si="17"/>
        <v>0</v>
      </c>
      <c r="O74" s="68">
        <f t="shared" si="17"/>
        <v>0</v>
      </c>
      <c r="P74" s="68">
        <f t="shared" si="17"/>
        <v>0</v>
      </c>
      <c r="Q74" s="68">
        <f t="shared" si="17"/>
        <v>0</v>
      </c>
      <c r="R74" s="68">
        <f t="shared" si="17"/>
        <v>0</v>
      </c>
      <c r="S74" s="68">
        <f t="shared" si="17"/>
        <v>0</v>
      </c>
      <c r="T74" s="68">
        <f t="shared" si="17"/>
        <v>0</v>
      </c>
      <c r="U74" s="68">
        <f t="shared" si="17"/>
        <v>0</v>
      </c>
      <c r="V74" s="68">
        <f t="shared" si="17"/>
        <v>0</v>
      </c>
      <c r="W74" s="68">
        <f t="shared" si="17"/>
        <v>0</v>
      </c>
      <c r="X74" s="68">
        <f t="shared" si="17"/>
        <v>0</v>
      </c>
      <c r="Y74" s="68">
        <f t="shared" si="17"/>
        <v>0</v>
      </c>
      <c r="Z74" s="68">
        <f t="shared" si="17"/>
        <v>0</v>
      </c>
      <c r="AA74" s="68">
        <f t="shared" si="17"/>
        <v>0</v>
      </c>
      <c r="AB74" s="68">
        <f t="shared" si="17"/>
        <v>0</v>
      </c>
      <c r="AC74" s="68">
        <f t="shared" si="17"/>
        <v>0</v>
      </c>
      <c r="AZ74" s="69"/>
      <c r="BA74" s="69"/>
      <c r="BB74" s="89"/>
      <c r="BC74" s="69"/>
      <c r="BD74" s="69"/>
      <c r="BE74" s="255"/>
      <c r="BF74" s="256"/>
      <c r="BG74" s="257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</row>
    <row r="75" spans="2:86" x14ac:dyDescent="0.2">
      <c r="B75" s="82">
        <v>18</v>
      </c>
      <c r="C75" s="68">
        <f t="shared" si="15"/>
        <v>0</v>
      </c>
      <c r="E75" s="130">
        <f>IF(F6&lt;&gt;"O",F75*(H75+I75+J75+K75+L75+M75+N75+O75+P75+Q75+U75+V75+W75+X75),0.192307692307692*(H75+I75+J75+K75+L75+M75+N75+O75+P75+Q75+U75+V75+W75+X75+Y75+Z75+AA75+AB75+AC75))</f>
        <v>0</v>
      </c>
      <c r="F75" s="173">
        <v>0.17466410748560501</v>
      </c>
      <c r="G75" s="129">
        <f t="shared" si="16"/>
        <v>0</v>
      </c>
      <c r="H75" s="68">
        <f t="shared" ref="H75:AC75" si="18">$F75*H25*H$72/100</f>
        <v>0</v>
      </c>
      <c r="I75" s="68">
        <f t="shared" si="18"/>
        <v>0</v>
      </c>
      <c r="J75" s="68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68">
        <f t="shared" si="18"/>
        <v>0</v>
      </c>
      <c r="O75" s="68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68">
        <f t="shared" si="18"/>
        <v>0</v>
      </c>
      <c r="T75" s="68">
        <f t="shared" si="18"/>
        <v>0</v>
      </c>
      <c r="U75" s="68">
        <f t="shared" si="18"/>
        <v>0</v>
      </c>
      <c r="V75" s="68">
        <f t="shared" si="18"/>
        <v>0</v>
      </c>
      <c r="W75" s="68">
        <f t="shared" si="18"/>
        <v>0</v>
      </c>
      <c r="X75" s="68">
        <f t="shared" si="18"/>
        <v>0</v>
      </c>
      <c r="Y75" s="68">
        <f t="shared" si="18"/>
        <v>0</v>
      </c>
      <c r="Z75" s="68">
        <f t="shared" si="18"/>
        <v>0</v>
      </c>
      <c r="AA75" s="68">
        <f t="shared" si="18"/>
        <v>0</v>
      </c>
      <c r="AB75" s="68">
        <f t="shared" si="18"/>
        <v>0</v>
      </c>
      <c r="AC75" s="68">
        <f t="shared" si="18"/>
        <v>0</v>
      </c>
      <c r="AZ75" s="69"/>
      <c r="BA75" s="69"/>
      <c r="BB75" s="89"/>
      <c r="BC75" s="69"/>
      <c r="BD75" s="69"/>
      <c r="BE75" s="255"/>
      <c r="BF75" s="256"/>
      <c r="BG75" s="257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</row>
    <row r="76" spans="2:86" x14ac:dyDescent="0.2">
      <c r="B76" s="82">
        <v>17</v>
      </c>
      <c r="C76" s="68">
        <f t="shared" si="15"/>
        <v>0</v>
      </c>
      <c r="E76" s="130">
        <f t="shared" ref="E76" si="19">IF(F6&lt;&gt;"O",F76*(H76+I76+J76+K76+L76+M76+N76+O76+P76+Q76+U76+V76+W76+X76),0.192307692307692*(H76+I76+J76+K76+L76+M76+N76+O76+P76+Q76+U76+V76+W76+X76+Y76+Z76+AA76+AB76+AC76))</f>
        <v>0</v>
      </c>
      <c r="F76" s="173">
        <v>0.15849056603773601</v>
      </c>
      <c r="G76" s="129">
        <f t="shared" si="16"/>
        <v>0</v>
      </c>
      <c r="H76" s="68">
        <f t="shared" ref="H76:AC76" si="20">$F76*H26*H$72/100</f>
        <v>0</v>
      </c>
      <c r="I76" s="68">
        <f t="shared" si="20"/>
        <v>0</v>
      </c>
      <c r="J76" s="68">
        <f t="shared" si="20"/>
        <v>0</v>
      </c>
      <c r="K76" s="68">
        <f t="shared" si="20"/>
        <v>0</v>
      </c>
      <c r="L76" s="68">
        <f t="shared" si="20"/>
        <v>0</v>
      </c>
      <c r="M76" s="68">
        <f t="shared" si="20"/>
        <v>0</v>
      </c>
      <c r="N76" s="68">
        <f t="shared" si="20"/>
        <v>0</v>
      </c>
      <c r="O76" s="68">
        <f t="shared" si="20"/>
        <v>0</v>
      </c>
      <c r="P76" s="68">
        <f t="shared" si="20"/>
        <v>0</v>
      </c>
      <c r="Q76" s="68">
        <f t="shared" si="20"/>
        <v>0</v>
      </c>
      <c r="R76" s="68">
        <f t="shared" si="20"/>
        <v>0</v>
      </c>
      <c r="S76" s="68">
        <f t="shared" si="20"/>
        <v>0</v>
      </c>
      <c r="T76" s="68">
        <f t="shared" si="20"/>
        <v>0</v>
      </c>
      <c r="U76" s="68">
        <f t="shared" si="20"/>
        <v>0</v>
      </c>
      <c r="V76" s="68">
        <f t="shared" si="20"/>
        <v>0</v>
      </c>
      <c r="W76" s="68">
        <f t="shared" si="20"/>
        <v>0</v>
      </c>
      <c r="X76" s="68">
        <f t="shared" si="20"/>
        <v>0</v>
      </c>
      <c r="Y76" s="68">
        <f t="shared" si="20"/>
        <v>0</v>
      </c>
      <c r="Z76" s="68">
        <f t="shared" si="20"/>
        <v>0</v>
      </c>
      <c r="AA76" s="68">
        <f t="shared" si="20"/>
        <v>0</v>
      </c>
      <c r="AB76" s="68">
        <f t="shared" si="20"/>
        <v>0</v>
      </c>
      <c r="AC76" s="68">
        <f t="shared" si="20"/>
        <v>0</v>
      </c>
      <c r="AZ76" s="69"/>
      <c r="BA76" s="69"/>
      <c r="BB76" s="89"/>
      <c r="BC76" s="69"/>
      <c r="BD76" s="69"/>
      <c r="BE76" s="255"/>
      <c r="BF76" s="256"/>
      <c r="BG76" s="257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</row>
    <row r="77" spans="2:86" x14ac:dyDescent="0.2">
      <c r="B77" s="82">
        <v>16</v>
      </c>
      <c r="C77" s="68">
        <f t="shared" si="15"/>
        <v>0</v>
      </c>
      <c r="E77" s="130">
        <f>IF(F6&lt;&gt;"O",F77*(H77+I77+J77+K77+L77+M77+N77+O77+P77+Q77+U77+V77+W77+X77),0.192307692307692*(H77+I77+J77+K77+L77+M77+N77+O77+P77+Q77+U77+V77+W77+X77+Y77+Z77+AA77+AB77+AC77))</f>
        <v>0</v>
      </c>
      <c r="F77" s="173">
        <v>0.139013452914798</v>
      </c>
      <c r="G77" s="129">
        <f t="shared" si="16"/>
        <v>0</v>
      </c>
      <c r="H77" s="68">
        <f t="shared" ref="H77:AC77" si="21">$F77*H27*H$72/100</f>
        <v>0</v>
      </c>
      <c r="I77" s="68">
        <f t="shared" si="21"/>
        <v>0</v>
      </c>
      <c r="J77" s="68">
        <f t="shared" si="21"/>
        <v>0</v>
      </c>
      <c r="K77" s="68">
        <f t="shared" si="21"/>
        <v>0</v>
      </c>
      <c r="L77" s="68">
        <f t="shared" si="21"/>
        <v>0</v>
      </c>
      <c r="M77" s="68">
        <f t="shared" si="21"/>
        <v>0</v>
      </c>
      <c r="N77" s="68">
        <f t="shared" si="21"/>
        <v>0</v>
      </c>
      <c r="O77" s="68">
        <f t="shared" si="21"/>
        <v>0</v>
      </c>
      <c r="P77" s="68">
        <f t="shared" si="21"/>
        <v>0</v>
      </c>
      <c r="Q77" s="68">
        <f t="shared" si="21"/>
        <v>0</v>
      </c>
      <c r="R77" s="68">
        <f t="shared" si="21"/>
        <v>0</v>
      </c>
      <c r="S77" s="68">
        <f t="shared" si="21"/>
        <v>0</v>
      </c>
      <c r="T77" s="68">
        <f t="shared" si="21"/>
        <v>0</v>
      </c>
      <c r="U77" s="68">
        <f t="shared" si="21"/>
        <v>0</v>
      </c>
      <c r="V77" s="68">
        <f t="shared" si="21"/>
        <v>0</v>
      </c>
      <c r="W77" s="68">
        <f t="shared" si="21"/>
        <v>0</v>
      </c>
      <c r="X77" s="68">
        <f t="shared" si="21"/>
        <v>0</v>
      </c>
      <c r="Y77" s="68">
        <f t="shared" si="21"/>
        <v>0</v>
      </c>
      <c r="Z77" s="68">
        <f t="shared" si="21"/>
        <v>0</v>
      </c>
      <c r="AA77" s="68">
        <f t="shared" si="21"/>
        <v>0</v>
      </c>
      <c r="AB77" s="68">
        <f t="shared" si="21"/>
        <v>0</v>
      </c>
      <c r="AC77" s="68">
        <f t="shared" si="21"/>
        <v>0</v>
      </c>
      <c r="AZ77" s="69"/>
      <c r="BA77" s="69"/>
      <c r="BB77" s="89"/>
      <c r="BC77" s="69"/>
      <c r="BD77" s="69"/>
      <c r="BE77" s="255"/>
      <c r="BF77" s="256"/>
      <c r="BG77" s="257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</row>
    <row r="78" spans="2:86" x14ac:dyDescent="0.2">
      <c r="B78" s="82">
        <v>15</v>
      </c>
      <c r="C78" s="68">
        <f t="shared" si="15"/>
        <v>0</v>
      </c>
      <c r="E78" s="130">
        <f>IF(F6&lt;&gt;"O",F78*(H78+I78+J78+K78+L78+M78+N78+O78+P78+Q78+U78+V78+W78+X78),0.192307692307692*(H78+I78+J78+K78+L78+M78+N78+O78+P78+Q78+U78+V78+W78+X78+Y78+Z78+AA78+AB78+AC78))</f>
        <v>0</v>
      </c>
      <c r="F78" s="173">
        <v>0.1216</v>
      </c>
      <c r="G78" s="129">
        <f t="shared" si="16"/>
        <v>0</v>
      </c>
      <c r="H78" s="68">
        <f t="shared" ref="H78:AC78" si="22">$F78*H28*H$72/100</f>
        <v>0</v>
      </c>
      <c r="I78" s="68">
        <f t="shared" si="22"/>
        <v>0</v>
      </c>
      <c r="J78" s="68">
        <f t="shared" si="22"/>
        <v>0</v>
      </c>
      <c r="K78" s="68">
        <f t="shared" si="22"/>
        <v>0</v>
      </c>
      <c r="L78" s="68">
        <f t="shared" si="22"/>
        <v>0</v>
      </c>
      <c r="M78" s="68">
        <f t="shared" si="22"/>
        <v>0</v>
      </c>
      <c r="N78" s="68">
        <f t="shared" si="22"/>
        <v>0</v>
      </c>
      <c r="O78" s="68">
        <f t="shared" si="22"/>
        <v>0</v>
      </c>
      <c r="P78" s="68">
        <f t="shared" si="22"/>
        <v>0</v>
      </c>
      <c r="Q78" s="68">
        <f t="shared" si="22"/>
        <v>0</v>
      </c>
      <c r="R78" s="68">
        <f t="shared" si="22"/>
        <v>0</v>
      </c>
      <c r="S78" s="68">
        <f t="shared" si="22"/>
        <v>0</v>
      </c>
      <c r="T78" s="68">
        <f t="shared" si="22"/>
        <v>0</v>
      </c>
      <c r="U78" s="68">
        <f t="shared" si="22"/>
        <v>0</v>
      </c>
      <c r="V78" s="68">
        <f t="shared" si="22"/>
        <v>0</v>
      </c>
      <c r="W78" s="68">
        <f t="shared" si="22"/>
        <v>0</v>
      </c>
      <c r="X78" s="68">
        <f t="shared" si="22"/>
        <v>0</v>
      </c>
      <c r="Y78" s="68">
        <f t="shared" si="22"/>
        <v>0</v>
      </c>
      <c r="Z78" s="68">
        <f t="shared" si="22"/>
        <v>0</v>
      </c>
      <c r="AA78" s="68">
        <f t="shared" si="22"/>
        <v>0</v>
      </c>
      <c r="AB78" s="68">
        <f t="shared" si="22"/>
        <v>0</v>
      </c>
      <c r="AC78" s="68">
        <f t="shared" si="22"/>
        <v>0</v>
      </c>
      <c r="AZ78" s="69"/>
      <c r="BA78" s="69"/>
      <c r="BB78" s="89"/>
      <c r="BC78" s="69"/>
      <c r="BD78" s="69"/>
      <c r="BE78" s="255"/>
      <c r="BF78" s="256"/>
      <c r="BG78" s="257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</row>
    <row r="79" spans="2:86" x14ac:dyDescent="0.2">
      <c r="B79" s="82" t="s">
        <v>63</v>
      </c>
      <c r="C79" s="68">
        <f t="shared" si="15"/>
        <v>0</v>
      </c>
      <c r="E79" s="130">
        <f>IF(F6&lt;&gt;"O",F79*(H79+I79+J79+K79+L79+M79+N79+O79+P79+Q79+U79+V79+W79+X79),0.192307692307692*(H79+I79+J79+K79+L79+M79+N79+O79+P79+Q79+U79+V79+W79+X79+Y79+Z79+AA79+AB79+AC79))</f>
        <v>0</v>
      </c>
      <c r="F79" s="173">
        <v>8.6400000000000005E-2</v>
      </c>
      <c r="G79" s="129">
        <f t="shared" si="16"/>
        <v>0</v>
      </c>
      <c r="H79" s="68">
        <f t="shared" ref="H79:AC79" si="23">$F79*H29*H$72/100</f>
        <v>0</v>
      </c>
      <c r="I79" s="68">
        <f t="shared" si="23"/>
        <v>0</v>
      </c>
      <c r="J79" s="68">
        <f t="shared" si="23"/>
        <v>0</v>
      </c>
      <c r="K79" s="68">
        <f t="shared" si="23"/>
        <v>0</v>
      </c>
      <c r="L79" s="68">
        <f t="shared" si="23"/>
        <v>0</v>
      </c>
      <c r="M79" s="68">
        <f t="shared" si="23"/>
        <v>0</v>
      </c>
      <c r="N79" s="68">
        <f t="shared" si="23"/>
        <v>0</v>
      </c>
      <c r="O79" s="68">
        <f t="shared" si="23"/>
        <v>0</v>
      </c>
      <c r="P79" s="68">
        <f t="shared" si="23"/>
        <v>0</v>
      </c>
      <c r="Q79" s="68">
        <f t="shared" si="23"/>
        <v>0</v>
      </c>
      <c r="R79" s="68">
        <f t="shared" si="23"/>
        <v>0</v>
      </c>
      <c r="S79" s="68">
        <f t="shared" si="23"/>
        <v>0</v>
      </c>
      <c r="T79" s="68">
        <f t="shared" si="23"/>
        <v>0</v>
      </c>
      <c r="U79" s="68">
        <f t="shared" si="23"/>
        <v>0</v>
      </c>
      <c r="V79" s="68">
        <f t="shared" si="23"/>
        <v>0</v>
      </c>
      <c r="W79" s="68">
        <f t="shared" si="23"/>
        <v>0</v>
      </c>
      <c r="X79" s="68">
        <f t="shared" si="23"/>
        <v>0</v>
      </c>
      <c r="Y79" s="68">
        <f t="shared" si="23"/>
        <v>0</v>
      </c>
      <c r="Z79" s="68">
        <f t="shared" si="23"/>
        <v>0</v>
      </c>
      <c r="AA79" s="68">
        <f t="shared" si="23"/>
        <v>0</v>
      </c>
      <c r="AB79" s="68">
        <f t="shared" si="23"/>
        <v>0</v>
      </c>
      <c r="AC79" s="68">
        <f t="shared" si="23"/>
        <v>0</v>
      </c>
      <c r="AZ79" s="69"/>
      <c r="BA79" s="69"/>
      <c r="BB79" s="89"/>
      <c r="BC79" s="69"/>
      <c r="BD79" s="69"/>
      <c r="BE79" s="255"/>
      <c r="BF79" s="256"/>
      <c r="BG79" s="257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</row>
    <row r="80" spans="2:86" x14ac:dyDescent="0.2">
      <c r="G80" s="129"/>
      <c r="AD80" s="174" t="e">
        <f>IF(AD81=" "," ",100*AD81/SUM(C74:C76))</f>
        <v>#DIV/0!</v>
      </c>
      <c r="AZ80" s="69"/>
      <c r="BA80" s="69"/>
      <c r="BB80" s="69"/>
      <c r="BC80" s="69"/>
      <c r="BD80" s="69"/>
      <c r="BE80" s="69"/>
      <c r="BF80" s="69"/>
      <c r="BG80" s="257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258"/>
      <c r="CE80" s="69"/>
      <c r="CF80" s="69"/>
      <c r="CG80" s="69"/>
      <c r="CH80" s="69"/>
    </row>
    <row r="81" spans="3:86" x14ac:dyDescent="0.2">
      <c r="G81" s="175" t="s">
        <v>71</v>
      </c>
      <c r="H81" s="68">
        <f>SUM(H74:H79)</f>
        <v>0</v>
      </c>
      <c r="I81" s="68">
        <f t="shared" ref="I81:X81" si="24">SUM(I74:I79)</f>
        <v>0</v>
      </c>
      <c r="J81" s="68">
        <f t="shared" si="24"/>
        <v>0</v>
      </c>
      <c r="K81" s="68">
        <f t="shared" si="24"/>
        <v>0</v>
      </c>
      <c r="L81" s="68">
        <f t="shared" si="24"/>
        <v>0</v>
      </c>
      <c r="M81" s="68">
        <f t="shared" si="24"/>
        <v>0</v>
      </c>
      <c r="N81" s="68">
        <f t="shared" si="24"/>
        <v>0</v>
      </c>
      <c r="O81" s="68">
        <f t="shared" si="24"/>
        <v>0</v>
      </c>
      <c r="P81" s="68">
        <f t="shared" si="24"/>
        <v>0</v>
      </c>
      <c r="Q81" s="68">
        <f t="shared" si="24"/>
        <v>0</v>
      </c>
      <c r="R81" s="68">
        <f t="shared" si="24"/>
        <v>0</v>
      </c>
      <c r="S81" s="68">
        <f t="shared" si="24"/>
        <v>0</v>
      </c>
      <c r="T81" s="68">
        <f t="shared" si="24"/>
        <v>0</v>
      </c>
      <c r="U81" s="68">
        <f t="shared" si="24"/>
        <v>0</v>
      </c>
      <c r="V81" s="68">
        <f t="shared" si="24"/>
        <v>0</v>
      </c>
      <c r="W81" s="68">
        <f t="shared" si="24"/>
        <v>0</v>
      </c>
      <c r="X81" s="68">
        <f t="shared" si="24"/>
        <v>0</v>
      </c>
      <c r="Y81" s="68">
        <f t="shared" ref="Y81:AC81" si="25">SUM(Y74:Y79)</f>
        <v>0</v>
      </c>
      <c r="Z81" s="68">
        <f t="shared" si="25"/>
        <v>0</v>
      </c>
      <c r="AA81" s="68">
        <f t="shared" si="25"/>
        <v>0</v>
      </c>
      <c r="AB81" s="68">
        <f t="shared" si="25"/>
        <v>0</v>
      </c>
      <c r="AC81" s="68">
        <f t="shared" si="25"/>
        <v>0</v>
      </c>
      <c r="AD81" s="176">
        <f>IF($F$6="O"," ",SUM(H81:X81))</f>
        <v>0</v>
      </c>
      <c r="AZ81" s="69"/>
      <c r="BA81" s="69"/>
      <c r="BB81" s="69"/>
      <c r="BC81" s="69"/>
      <c r="BD81" s="69"/>
      <c r="BE81" s="69"/>
      <c r="BF81" s="69"/>
      <c r="BG81" s="175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259"/>
      <c r="CE81" s="69"/>
      <c r="CF81" s="69"/>
      <c r="CG81" s="69"/>
      <c r="CH81" s="69"/>
    </row>
    <row r="82" spans="3:86" x14ac:dyDescent="0.2">
      <c r="G82" s="112" t="s">
        <v>72</v>
      </c>
      <c r="H82" s="68">
        <f t="shared" ref="H82:Q82" si="26">H81-(H81*H66)</f>
        <v>0</v>
      </c>
      <c r="I82" s="68">
        <f t="shared" si="26"/>
        <v>0</v>
      </c>
      <c r="J82" s="68">
        <f t="shared" si="26"/>
        <v>0</v>
      </c>
      <c r="K82" s="68">
        <f t="shared" si="26"/>
        <v>0</v>
      </c>
      <c r="L82" s="68">
        <f t="shared" si="26"/>
        <v>0</v>
      </c>
      <c r="M82" s="68">
        <f t="shared" si="26"/>
        <v>0</v>
      </c>
      <c r="N82" s="68">
        <f t="shared" si="26"/>
        <v>0</v>
      </c>
      <c r="O82" s="68">
        <f t="shared" si="26"/>
        <v>0</v>
      </c>
      <c r="P82" s="68">
        <f t="shared" si="26"/>
        <v>0</v>
      </c>
      <c r="Q82" s="68">
        <f t="shared" si="26"/>
        <v>0</v>
      </c>
      <c r="S82" s="68">
        <f>S81-(S81*S66)</f>
        <v>0</v>
      </c>
      <c r="U82" s="68">
        <f>U81-(U81*U66)</f>
        <v>0</v>
      </c>
      <c r="V82" s="68">
        <f>V81-(V81*V66)</f>
        <v>0</v>
      </c>
      <c r="W82" s="68">
        <f>W81-(W81*W66)</f>
        <v>0</v>
      </c>
      <c r="X82" s="68">
        <f>X81-(X81*X66)</f>
        <v>0</v>
      </c>
      <c r="AD82" s="176">
        <f>IF($F$6="O"," ",SUM(H82:X82))</f>
        <v>0</v>
      </c>
      <c r="AZ82" s="69"/>
      <c r="BA82" s="69"/>
      <c r="BB82" s="69"/>
      <c r="BC82" s="69"/>
      <c r="BD82" s="69"/>
      <c r="BE82" s="69"/>
      <c r="BF82" s="69"/>
      <c r="BG82" s="213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259"/>
      <c r="CE82" s="69"/>
      <c r="CF82" s="69"/>
      <c r="CG82" s="69"/>
      <c r="CH82" s="69"/>
    </row>
    <row r="83" spans="3:86" x14ac:dyDescent="0.2">
      <c r="AD83" s="174" t="e">
        <f>IF(AD82=" "," ",100*AD82/SUM(C74:C76))</f>
        <v>#DIV/0!</v>
      </c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258"/>
      <c r="CE83" s="69"/>
      <c r="CF83" s="69"/>
      <c r="CG83" s="69"/>
      <c r="CH83" s="69"/>
    </row>
    <row r="84" spans="3:86" x14ac:dyDescent="0.2">
      <c r="C84" s="177"/>
      <c r="D84" s="178"/>
      <c r="E84" s="178"/>
      <c r="F84" s="178"/>
      <c r="G84" s="178"/>
      <c r="H84" s="178"/>
      <c r="I84" s="178"/>
      <c r="J84" s="178"/>
      <c r="K84" s="178"/>
      <c r="L84" s="179"/>
      <c r="T84" s="177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</row>
    <row r="85" spans="3:86" x14ac:dyDescent="0.2">
      <c r="C85" s="180"/>
      <c r="D85" s="115" t="s">
        <v>96</v>
      </c>
      <c r="E85" s="88"/>
      <c r="F85" s="88"/>
      <c r="G85" s="88"/>
      <c r="H85" s="88"/>
      <c r="I85" s="88"/>
      <c r="J85" s="88"/>
      <c r="K85" s="88"/>
      <c r="L85" s="181"/>
      <c r="O85" s="156"/>
      <c r="T85" s="180"/>
      <c r="U85" s="88"/>
      <c r="V85" s="116" t="s">
        <v>88</v>
      </c>
      <c r="W85" s="88"/>
      <c r="X85" s="88"/>
      <c r="Y85" s="88"/>
      <c r="Z85" s="88"/>
      <c r="AA85" s="88"/>
      <c r="AB85" s="88"/>
      <c r="AC85" s="182" t="s">
        <v>93</v>
      </c>
      <c r="AD85" s="183">
        <v>75</v>
      </c>
      <c r="AE85" s="181"/>
      <c r="AZ85" s="69"/>
      <c r="BA85" s="69"/>
      <c r="BB85" s="69"/>
      <c r="BC85" s="69"/>
      <c r="BD85" s="254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260"/>
      <c r="BP85" s="69"/>
      <c r="BQ85" s="69"/>
      <c r="BR85" s="69"/>
      <c r="BS85" s="69"/>
      <c r="BT85" s="69"/>
      <c r="BU85" s="69"/>
      <c r="BV85" s="70"/>
      <c r="BW85" s="69"/>
      <c r="BX85" s="69"/>
      <c r="BY85" s="69"/>
      <c r="BZ85" s="69"/>
      <c r="CA85" s="69"/>
      <c r="CB85" s="69"/>
      <c r="CC85" s="260"/>
      <c r="CD85" s="256"/>
      <c r="CE85" s="69"/>
      <c r="CF85" s="69"/>
      <c r="CG85" s="69"/>
      <c r="CH85" s="69"/>
    </row>
    <row r="86" spans="3:86" x14ac:dyDescent="0.2">
      <c r="C86" s="180"/>
      <c r="D86" s="88"/>
      <c r="E86" s="88"/>
      <c r="F86" s="88"/>
      <c r="G86" s="88"/>
      <c r="H86" s="88"/>
      <c r="I86" s="88"/>
      <c r="J86" s="88"/>
      <c r="K86" s="88"/>
      <c r="L86" s="181"/>
      <c r="S86" s="156"/>
      <c r="T86" s="180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181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260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</row>
    <row r="87" spans="3:86" x14ac:dyDescent="0.2">
      <c r="C87" s="180">
        <f t="shared" ref="C87:C92" si="27">C74</f>
        <v>0</v>
      </c>
      <c r="D87" s="88"/>
      <c r="E87" s="88">
        <f>B74</f>
        <v>19</v>
      </c>
      <c r="F87" s="88"/>
      <c r="G87" s="88"/>
      <c r="H87" s="88"/>
      <c r="I87" s="88"/>
      <c r="J87" s="88">
        <f t="shared" ref="J87:J92" si="28">C87*E87</f>
        <v>0</v>
      </c>
      <c r="K87" s="88"/>
      <c r="L87" s="181"/>
      <c r="T87" s="180"/>
      <c r="U87" s="88"/>
      <c r="V87" s="88"/>
      <c r="W87" s="88"/>
      <c r="X87" s="88"/>
      <c r="Y87" s="88"/>
      <c r="Z87" s="88"/>
      <c r="AA87" s="88"/>
      <c r="AB87" s="88"/>
      <c r="AC87" s="182" t="s">
        <v>89</v>
      </c>
      <c r="AD87" s="183">
        <v>0.57908999999999999</v>
      </c>
      <c r="AE87" s="181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260"/>
      <c r="CD87" s="256"/>
      <c r="CE87" s="69"/>
      <c r="CF87" s="69"/>
      <c r="CG87" s="69"/>
      <c r="CH87" s="69"/>
    </row>
    <row r="88" spans="3:86" x14ac:dyDescent="0.2">
      <c r="C88" s="180">
        <f t="shared" si="27"/>
        <v>0</v>
      </c>
      <c r="D88" s="88"/>
      <c r="E88" s="88">
        <f>B75</f>
        <v>18</v>
      </c>
      <c r="F88" s="88"/>
      <c r="G88" s="88"/>
      <c r="H88" s="88"/>
      <c r="I88" s="88"/>
      <c r="J88" s="88">
        <f t="shared" si="28"/>
        <v>0</v>
      </c>
      <c r="K88" s="88"/>
      <c r="L88" s="181"/>
      <c r="T88" s="180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181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</row>
    <row r="89" spans="3:86" x14ac:dyDescent="0.2">
      <c r="C89" s="180">
        <f t="shared" si="27"/>
        <v>0</v>
      </c>
      <c r="D89" s="88"/>
      <c r="E89" s="88">
        <f>B76</f>
        <v>17</v>
      </c>
      <c r="F89" s="88"/>
      <c r="G89" s="88"/>
      <c r="H89" s="88"/>
      <c r="I89" s="88"/>
      <c r="J89" s="88">
        <f t="shared" si="28"/>
        <v>0</v>
      </c>
      <c r="K89" s="88"/>
      <c r="L89" s="181"/>
      <c r="T89" s="180"/>
      <c r="U89" s="88"/>
      <c r="V89" s="88"/>
      <c r="W89" s="88"/>
      <c r="X89" s="88"/>
      <c r="Y89" s="88"/>
      <c r="Z89" s="88"/>
      <c r="AA89" s="88"/>
      <c r="AB89" s="88"/>
      <c r="AC89" s="182" t="s">
        <v>90</v>
      </c>
      <c r="AD89" s="183">
        <v>-0.3</v>
      </c>
      <c r="AE89" s="181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260"/>
      <c r="CD89" s="256"/>
      <c r="CE89" s="69"/>
      <c r="CF89" s="69"/>
      <c r="CG89" s="69"/>
      <c r="CH89" s="69"/>
    </row>
    <row r="90" spans="3:86" x14ac:dyDescent="0.2">
      <c r="C90" s="180">
        <f t="shared" si="27"/>
        <v>0</v>
      </c>
      <c r="D90" s="88"/>
      <c r="E90" s="88">
        <f>B77</f>
        <v>16</v>
      </c>
      <c r="F90" s="88"/>
      <c r="G90" s="88"/>
      <c r="H90" s="88"/>
      <c r="I90" s="88"/>
      <c r="J90" s="88">
        <f t="shared" si="28"/>
        <v>0</v>
      </c>
      <c r="K90" s="88"/>
      <c r="L90" s="181"/>
      <c r="T90" s="180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181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</row>
    <row r="91" spans="3:86" x14ac:dyDescent="0.2">
      <c r="C91" s="180">
        <f t="shared" si="27"/>
        <v>0</v>
      </c>
      <c r="D91" s="88"/>
      <c r="E91" s="88">
        <f>B78</f>
        <v>15</v>
      </c>
      <c r="F91" s="88"/>
      <c r="G91" s="88"/>
      <c r="H91" s="88"/>
      <c r="I91" s="88"/>
      <c r="J91" s="88">
        <f t="shared" si="28"/>
        <v>0</v>
      </c>
      <c r="K91" s="88"/>
      <c r="L91" s="181"/>
      <c r="T91" s="180"/>
      <c r="U91" s="88"/>
      <c r="V91" s="88"/>
      <c r="W91" s="88"/>
      <c r="X91" s="88"/>
      <c r="Y91" s="88"/>
      <c r="Z91" s="88"/>
      <c r="AA91" s="88"/>
      <c r="AB91" s="88"/>
      <c r="AC91" s="182" t="s">
        <v>91</v>
      </c>
      <c r="AD91" s="88"/>
      <c r="AE91" s="181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260"/>
      <c r="CD91" s="69"/>
      <c r="CE91" s="69"/>
      <c r="CF91" s="69"/>
      <c r="CG91" s="69"/>
      <c r="CH91" s="69"/>
    </row>
    <row r="92" spans="3:86" ht="13.5" thickBot="1" x14ac:dyDescent="0.25">
      <c r="C92" s="180">
        <f t="shared" si="27"/>
        <v>0</v>
      </c>
      <c r="D92" s="88"/>
      <c r="E92" s="184">
        <v>13</v>
      </c>
      <c r="F92" s="88" t="s">
        <v>87</v>
      </c>
      <c r="G92" s="88"/>
      <c r="H92" s="88"/>
      <c r="I92" s="88"/>
      <c r="J92" s="184">
        <f t="shared" si="28"/>
        <v>0</v>
      </c>
      <c r="K92" s="88"/>
      <c r="L92" s="181"/>
      <c r="T92" s="180"/>
      <c r="U92" s="88"/>
      <c r="V92" s="88"/>
      <c r="W92" s="88"/>
      <c r="X92" s="88"/>
      <c r="Y92" s="88"/>
      <c r="Z92" s="88"/>
      <c r="AA92" s="88"/>
      <c r="AB92" s="88"/>
      <c r="AC92" s="88">
        <v>19</v>
      </c>
      <c r="AD92" s="185">
        <f>AD87</f>
        <v>0.57908999999999999</v>
      </c>
      <c r="AE92" s="181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261"/>
      <c r="CE92" s="69"/>
      <c r="CF92" s="69"/>
      <c r="CG92" s="69"/>
      <c r="CH92" s="69"/>
    </row>
    <row r="93" spans="3:86" ht="13.5" thickTop="1" x14ac:dyDescent="0.2">
      <c r="C93" s="180"/>
      <c r="D93" s="88"/>
      <c r="E93" s="88"/>
      <c r="F93" s="88"/>
      <c r="G93" s="88"/>
      <c r="H93" s="88"/>
      <c r="I93" s="88"/>
      <c r="J93" s="88"/>
      <c r="K93" s="88"/>
      <c r="L93" s="181"/>
      <c r="T93" s="180"/>
      <c r="U93" s="88"/>
      <c r="V93" s="88"/>
      <c r="W93" s="88"/>
      <c r="X93" s="88"/>
      <c r="Y93" s="88"/>
      <c r="Z93" s="88"/>
      <c r="AA93" s="88"/>
      <c r="AB93" s="88"/>
      <c r="AC93" s="88">
        <v>18</v>
      </c>
      <c r="AD93" s="185">
        <f>AD92+AD$89/100</f>
        <v>0.57608999999999999</v>
      </c>
      <c r="AE93" s="181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261"/>
      <c r="CE93" s="69"/>
      <c r="CF93" s="69"/>
      <c r="CG93" s="69"/>
      <c r="CH93" s="69"/>
    </row>
    <row r="94" spans="3:86" x14ac:dyDescent="0.2">
      <c r="C94" s="186">
        <f>SUM(C87:C92)</f>
        <v>0</v>
      </c>
      <c r="D94" s="88"/>
      <c r="E94" s="69" t="e">
        <f>J94/C94</f>
        <v>#DIV/0!</v>
      </c>
      <c r="F94" s="88" t="s">
        <v>101</v>
      </c>
      <c r="G94" s="88"/>
      <c r="H94" s="88"/>
      <c r="I94" s="88"/>
      <c r="J94" s="69">
        <f>SUM(J87:J92)</f>
        <v>0</v>
      </c>
      <c r="K94" s="88"/>
      <c r="L94" s="181"/>
      <c r="T94" s="180"/>
      <c r="U94" s="88"/>
      <c r="V94" s="88"/>
      <c r="W94" s="88"/>
      <c r="X94" s="88"/>
      <c r="Y94" s="88"/>
      <c r="Z94" s="88"/>
      <c r="AA94" s="88"/>
      <c r="AB94" s="88"/>
      <c r="AC94" s="88">
        <v>17</v>
      </c>
      <c r="AD94" s="185">
        <f>AD93+AD$89/100</f>
        <v>0.57308999999999999</v>
      </c>
      <c r="AE94" s="181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261"/>
      <c r="CE94" s="69"/>
      <c r="CF94" s="69"/>
      <c r="CG94" s="69"/>
      <c r="CH94" s="69"/>
    </row>
    <row r="95" spans="3:86" x14ac:dyDescent="0.2">
      <c r="C95" s="180"/>
      <c r="D95" s="88"/>
      <c r="E95" s="88"/>
      <c r="F95" s="88"/>
      <c r="G95" s="88"/>
      <c r="H95" s="88"/>
      <c r="I95" s="88"/>
      <c r="J95" s="88"/>
      <c r="K95" s="88"/>
      <c r="L95" s="181"/>
      <c r="T95" s="180"/>
      <c r="U95" s="88"/>
      <c r="V95" s="88"/>
      <c r="W95" s="88"/>
      <c r="X95" s="88"/>
      <c r="Y95" s="88"/>
      <c r="Z95" s="88"/>
      <c r="AA95" s="88"/>
      <c r="AB95" s="88"/>
      <c r="AC95" s="88">
        <v>16</v>
      </c>
      <c r="AD95" s="185">
        <f>AD94+AD$89/100</f>
        <v>0.57008999999999999</v>
      </c>
      <c r="AE95" s="181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261"/>
      <c r="CE95" s="69"/>
      <c r="CF95" s="69"/>
      <c r="CG95" s="69"/>
      <c r="CH95" s="69"/>
    </row>
    <row r="96" spans="3:86" x14ac:dyDescent="0.2">
      <c r="C96" s="180"/>
      <c r="D96" s="182" t="s">
        <v>86</v>
      </c>
      <c r="E96" s="157" t="e">
        <f>E98&amp;"   ("&amp;H98&amp;" "&amp;TEXT(E94,"0.0")&amp;")"</f>
        <v>#DIV/0!</v>
      </c>
      <c r="F96" s="158"/>
      <c r="G96" s="158"/>
      <c r="H96" s="158"/>
      <c r="I96" s="158"/>
      <c r="J96" s="158"/>
      <c r="K96" s="159"/>
      <c r="L96" s="181"/>
      <c r="T96" s="180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181"/>
      <c r="AZ96" s="69"/>
      <c r="BA96" s="69"/>
      <c r="BB96" s="69"/>
      <c r="BC96" s="69"/>
      <c r="BD96" s="260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</row>
    <row r="97" spans="1:86" x14ac:dyDescent="0.2">
      <c r="C97" s="180"/>
      <c r="D97" s="88"/>
      <c r="E97" s="88"/>
      <c r="F97" s="88"/>
      <c r="G97" s="88"/>
      <c r="H97" s="88"/>
      <c r="I97" s="88"/>
      <c r="J97" s="88"/>
      <c r="K97" s="88"/>
      <c r="L97" s="181"/>
      <c r="T97" s="180"/>
      <c r="U97" s="88"/>
      <c r="V97" s="88"/>
      <c r="W97" s="88"/>
      <c r="X97" s="182" t="s">
        <v>97</v>
      </c>
      <c r="Y97" s="88" t="s">
        <v>92</v>
      </c>
      <c r="Z97" s="88"/>
      <c r="AA97" s="88"/>
      <c r="AB97" s="88"/>
      <c r="AC97" s="88"/>
      <c r="AD97" s="88"/>
      <c r="AE97" s="181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260"/>
      <c r="BY97" s="69"/>
      <c r="BZ97" s="69"/>
      <c r="CA97" s="69"/>
      <c r="CB97" s="69"/>
      <c r="CC97" s="69"/>
      <c r="CD97" s="69"/>
      <c r="CE97" s="69"/>
      <c r="CF97" s="69"/>
      <c r="CG97" s="69"/>
      <c r="CH97" s="69"/>
    </row>
    <row r="98" spans="1:86" x14ac:dyDescent="0.2">
      <c r="C98" s="187"/>
      <c r="D98" s="188"/>
      <c r="E98" s="188" t="str">
        <f>AJ98</f>
        <v>Tamaño de criba</v>
      </c>
      <c r="F98" s="188"/>
      <c r="G98" s="188"/>
      <c r="H98" s="188" t="str">
        <f>AL98</f>
        <v>Promedio ponderado</v>
      </c>
      <c r="I98" s="188"/>
      <c r="J98" s="188"/>
      <c r="K98" s="188"/>
      <c r="L98" s="189"/>
      <c r="T98" s="187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9"/>
      <c r="AJ98" s="68" t="str">
        <f>AJ109</f>
        <v>Tamaño de criba</v>
      </c>
      <c r="AL98" s="68" t="str">
        <f>AL109</f>
        <v>Promedio ponderado</v>
      </c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</row>
    <row r="99" spans="1:86" x14ac:dyDescent="0.2"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</row>
    <row r="100" spans="1:86" x14ac:dyDescent="0.2"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</row>
    <row r="101" spans="1:86" x14ac:dyDescent="0.2"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</row>
    <row r="102" spans="1:86" x14ac:dyDescent="0.2"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</row>
    <row r="103" spans="1:86" x14ac:dyDescent="0.2">
      <c r="B103" s="126" t="s">
        <v>99</v>
      </c>
      <c r="AM103" s="126" t="s">
        <v>219</v>
      </c>
      <c r="AZ103" s="69"/>
      <c r="BA103" s="69"/>
      <c r="BB103" s="254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</row>
    <row r="104" spans="1:86" x14ac:dyDescent="0.2">
      <c r="A104" s="177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1"/>
      <c r="AO104" s="17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</row>
    <row r="105" spans="1:86" ht="15.75" thickBot="1" x14ac:dyDescent="0.25">
      <c r="A105" s="180"/>
      <c r="B105" s="88"/>
      <c r="C105" s="88"/>
      <c r="D105" s="69"/>
      <c r="E105" s="70" t="str">
        <f t="shared" ref="E105:E115" si="29">IF($D$57="S",E139,IF($D$57="E",E173,"Tilt"))</f>
        <v>Secuencia de la muestra, #:</v>
      </c>
      <c r="F105" s="71"/>
      <c r="H105" s="69"/>
      <c r="I105" s="72"/>
      <c r="J105" s="88"/>
      <c r="K105" s="70" t="str">
        <f t="shared" ref="K105:K113" si="30">IF($D$57="S",K139,IF($D$57="E",K173,"Tilt"))</f>
        <v>Dueño:</v>
      </c>
      <c r="L105" s="73"/>
      <c r="M105" s="74"/>
      <c r="N105" s="75"/>
      <c r="O105" s="76"/>
      <c r="P105" s="76"/>
      <c r="Q105" s="70" t="str">
        <f t="shared" ref="Q105" si="31">IF($D$57="S",Q139,IF($D$57="E",Q173,"Tilt"))</f>
        <v xml:space="preserve">Comentos: </v>
      </c>
      <c r="R105" s="77"/>
      <c r="S105" s="78"/>
      <c r="T105" s="79"/>
      <c r="U105" s="80"/>
      <c r="V105" s="88"/>
      <c r="W105" s="88"/>
      <c r="X105" s="88"/>
      <c r="Y105" s="70" t="str">
        <f>IF($D$57="S",Y139,IF($D$57="E",Y173,"Tilt"))</f>
        <v>No exportable % :</v>
      </c>
      <c r="Z105" s="81"/>
      <c r="AA105" s="88"/>
      <c r="AB105" s="88"/>
      <c r="AC105" s="70" t="str">
        <f>IF($D$57="S",AC139,IF($D$57="E",AC173,"Tilt"))</f>
        <v>Rendi. Total, % :</v>
      </c>
      <c r="AD105" s="81"/>
      <c r="AE105" s="88"/>
      <c r="AF105" s="88"/>
      <c r="AG105" s="88"/>
      <c r="AH105" s="88"/>
      <c r="AI105" s="182" t="s">
        <v>188</v>
      </c>
      <c r="AJ105" s="192" t="str">
        <f>IF($D$57="S",AJ139,IF($D$57="E",AJ173,"Tilt"))</f>
        <v>Cuenta de Defectos</v>
      </c>
      <c r="AK105" s="193"/>
      <c r="AL105" s="193"/>
      <c r="AM105" s="193"/>
      <c r="AN105" s="194"/>
      <c r="AO105" s="195"/>
      <c r="AZ105" s="69"/>
      <c r="BA105" s="69"/>
      <c r="BB105" s="69"/>
      <c r="BC105" s="69"/>
      <c r="BD105" s="69"/>
      <c r="BE105" s="70"/>
      <c r="BF105" s="76"/>
      <c r="BG105" s="69"/>
      <c r="BH105" s="69"/>
      <c r="BI105" s="72"/>
      <c r="BJ105" s="69"/>
      <c r="BK105" s="70"/>
      <c r="BL105" s="262"/>
      <c r="BM105" s="69"/>
      <c r="BN105" s="69"/>
      <c r="BO105" s="76"/>
      <c r="BP105" s="76"/>
      <c r="BQ105" s="70"/>
      <c r="BR105" s="262"/>
      <c r="BS105" s="69"/>
      <c r="BT105" s="262"/>
      <c r="BU105" s="69"/>
      <c r="BV105" s="69"/>
      <c r="BW105" s="69"/>
      <c r="BX105" s="69"/>
      <c r="BY105" s="70"/>
      <c r="BZ105" s="263"/>
      <c r="CA105" s="69"/>
      <c r="CB105" s="69"/>
      <c r="CC105" s="70"/>
      <c r="CD105" s="263"/>
      <c r="CE105" s="69"/>
      <c r="CF105" s="69"/>
      <c r="CG105" s="69"/>
      <c r="CH105" s="69"/>
    </row>
    <row r="106" spans="1:86" x14ac:dyDescent="0.2">
      <c r="A106" s="180"/>
      <c r="B106" s="88"/>
      <c r="C106" s="88"/>
      <c r="D106" s="69"/>
      <c r="E106" s="70" t="str">
        <f t="shared" si="29"/>
        <v>Fecha llegada (muestra):</v>
      </c>
      <c r="F106" s="276"/>
      <c r="G106" s="277"/>
      <c r="H106" s="69"/>
      <c r="I106" s="69"/>
      <c r="J106" s="88"/>
      <c r="K106" s="70" t="str">
        <f t="shared" si="30"/>
        <v>Predio:</v>
      </c>
      <c r="L106" s="73"/>
      <c r="M106" s="74"/>
      <c r="N106" s="75"/>
      <c r="O106" s="76"/>
      <c r="P106" s="77"/>
      <c r="Q106" s="79"/>
      <c r="R106" s="78"/>
      <c r="S106" s="78"/>
      <c r="T106" s="79"/>
      <c r="U106" s="80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196"/>
      <c r="AO106" s="195"/>
      <c r="AZ106" s="69"/>
      <c r="BA106" s="69"/>
      <c r="BB106" s="69"/>
      <c r="BC106" s="69"/>
      <c r="BD106" s="69"/>
      <c r="BE106" s="70"/>
      <c r="BF106" s="283"/>
      <c r="BG106" s="284"/>
      <c r="BH106" s="69"/>
      <c r="BI106" s="69"/>
      <c r="BJ106" s="69"/>
      <c r="BK106" s="70"/>
      <c r="BL106" s="262"/>
      <c r="BM106" s="69"/>
      <c r="BN106" s="69"/>
      <c r="BO106" s="76"/>
      <c r="BP106" s="262"/>
      <c r="BQ106" s="262"/>
      <c r="BR106" s="69"/>
      <c r="BS106" s="69"/>
      <c r="BT106" s="262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</row>
    <row r="107" spans="1:86" ht="13.5" thickBot="1" x14ac:dyDescent="0.25">
      <c r="A107" s="180"/>
      <c r="B107" s="88"/>
      <c r="C107" s="88"/>
      <c r="D107" s="69"/>
      <c r="E107" s="70" t="str">
        <f t="shared" si="29"/>
        <v>Muestra tomadoa por:</v>
      </c>
      <c r="F107" s="276"/>
      <c r="G107" s="277"/>
      <c r="H107" s="88"/>
      <c r="I107" s="88"/>
      <c r="J107" s="88"/>
      <c r="K107" s="70" t="str">
        <f t="shared" si="30"/>
        <v>Localidad:</v>
      </c>
      <c r="L107" s="41"/>
      <c r="O107" s="76"/>
      <c r="P107" s="77"/>
      <c r="Q107" s="79"/>
      <c r="R107" s="78"/>
      <c r="S107" s="78"/>
      <c r="T107" s="79"/>
      <c r="U107" s="80"/>
      <c r="V107" s="88"/>
      <c r="W107" s="88"/>
      <c r="X107" s="88"/>
      <c r="Y107" s="88"/>
      <c r="Z107" s="69"/>
      <c r="AA107" s="69"/>
      <c r="AB107" s="69"/>
      <c r="AC107" s="70" t="str">
        <f>IF($D$57="S",AC141,IF($D$57="E",AC175,"Tilt"))</f>
        <v>Puntacion, defectos Q® :</v>
      </c>
      <c r="AD107" s="83"/>
      <c r="AE107" s="88"/>
      <c r="AF107" s="88"/>
      <c r="AG107" s="88"/>
      <c r="AH107" s="88"/>
      <c r="AI107" s="88"/>
      <c r="AJ107" s="88"/>
      <c r="AK107" s="88"/>
      <c r="AL107" s="88"/>
      <c r="AM107" s="88"/>
      <c r="AN107" s="196"/>
      <c r="AO107" s="195"/>
      <c r="AZ107" s="69"/>
      <c r="BA107" s="69"/>
      <c r="BB107" s="69"/>
      <c r="BC107" s="69"/>
      <c r="BD107" s="69"/>
      <c r="BE107" s="70"/>
      <c r="BF107" s="283"/>
      <c r="BG107" s="284"/>
      <c r="BH107" s="69"/>
      <c r="BI107" s="69"/>
      <c r="BJ107" s="69"/>
      <c r="BK107" s="70"/>
      <c r="BL107" s="89"/>
      <c r="BM107" s="69"/>
      <c r="BN107" s="69"/>
      <c r="BO107" s="76"/>
      <c r="BP107" s="262"/>
      <c r="BQ107" s="262"/>
      <c r="BR107" s="69"/>
      <c r="BS107" s="69"/>
      <c r="BT107" s="262"/>
      <c r="BU107" s="69"/>
      <c r="BV107" s="69"/>
      <c r="BW107" s="69"/>
      <c r="BX107" s="69"/>
      <c r="BY107" s="69"/>
      <c r="BZ107" s="69"/>
      <c r="CA107" s="69"/>
      <c r="CB107" s="69"/>
      <c r="CC107" s="70"/>
      <c r="CD107" s="263"/>
      <c r="CE107" s="69"/>
      <c r="CF107" s="69"/>
      <c r="CG107" s="69"/>
      <c r="CH107" s="69"/>
    </row>
    <row r="108" spans="1:86" x14ac:dyDescent="0.2">
      <c r="A108" s="180"/>
      <c r="B108" s="88"/>
      <c r="C108" s="88"/>
      <c r="D108" s="69"/>
      <c r="E108" s="70" t="str">
        <f t="shared" si="29"/>
        <v>Fecha del Lote:</v>
      </c>
      <c r="F108" s="276"/>
      <c r="G108" s="277"/>
      <c r="H108" s="88"/>
      <c r="I108" s="88"/>
      <c r="J108" s="88"/>
      <c r="K108" s="70" t="str">
        <f t="shared" si="30"/>
        <v>Calidad de Cerezas:</v>
      </c>
      <c r="L108" s="84"/>
      <c r="O108" s="76"/>
      <c r="Q108" s="76"/>
      <c r="R108" s="76"/>
      <c r="S108" s="70"/>
      <c r="V108" s="88"/>
      <c r="W108" s="88"/>
      <c r="X108" s="88"/>
      <c r="Y108" s="88"/>
      <c r="Z108" s="88"/>
      <c r="AA108" s="88"/>
      <c r="AB108" s="88"/>
      <c r="AC108" s="69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196"/>
      <c r="AO108" s="195"/>
      <c r="AZ108" s="69"/>
      <c r="BA108" s="69"/>
      <c r="BB108" s="69"/>
      <c r="BC108" s="69"/>
      <c r="BD108" s="69"/>
      <c r="BE108" s="70"/>
      <c r="BF108" s="283"/>
      <c r="BG108" s="284"/>
      <c r="BH108" s="69"/>
      <c r="BI108" s="69"/>
      <c r="BJ108" s="69"/>
      <c r="BK108" s="70"/>
      <c r="BL108" s="257"/>
      <c r="BM108" s="69"/>
      <c r="BN108" s="69"/>
      <c r="BO108" s="76"/>
      <c r="BP108" s="69"/>
      <c r="BQ108" s="76"/>
      <c r="BR108" s="76"/>
      <c r="BS108" s="70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</row>
    <row r="109" spans="1:86" ht="13.5" thickBot="1" x14ac:dyDescent="0.25">
      <c r="A109" s="180"/>
      <c r="B109" s="88"/>
      <c r="C109" s="88"/>
      <c r="D109" s="69"/>
      <c r="E109" s="70" t="str">
        <f t="shared" si="29"/>
        <v>Proceso (L, Sem-L, No-L)</v>
      </c>
      <c r="F109" s="41"/>
      <c r="H109" s="88"/>
      <c r="I109" s="88"/>
      <c r="J109" s="88"/>
      <c r="K109" s="70" t="str">
        <f t="shared" si="30"/>
        <v>El peso evaluado, g:</v>
      </c>
      <c r="L109" s="41"/>
      <c r="M109" s="68" t="str">
        <f>IF($D$57="S",M143,IF($D$57="E",M177,"Tilt"))</f>
        <v>(350 g L, 400 g ND, 600 g C)</v>
      </c>
      <c r="O109" s="76"/>
      <c r="P109" s="76"/>
      <c r="Q109" s="76"/>
      <c r="R109" s="76"/>
      <c r="S109" s="70"/>
      <c r="V109" s="88"/>
      <c r="W109" s="88"/>
      <c r="X109" s="88"/>
      <c r="Y109" s="88"/>
      <c r="Z109" s="88"/>
      <c r="AA109" s="88"/>
      <c r="AB109" s="88"/>
      <c r="AC109" s="70" t="str">
        <f>IF($D$57="S",AC143,IF($D$57="E",AC177,"Tilt"))</f>
        <v>Defectos Estimados despues el Oliver, Q® :</v>
      </c>
      <c r="AD109" s="83" t="s">
        <v>98</v>
      </c>
      <c r="AE109" s="88"/>
      <c r="AF109" s="88"/>
      <c r="AG109" s="88"/>
      <c r="AH109" s="88"/>
      <c r="AI109" s="88"/>
      <c r="AJ109" s="197" t="str">
        <f>IF($D$57="S",AJ143,IF($D$57="E",AJ177,"Tilt"))</f>
        <v>Tamaño de criba</v>
      </c>
      <c r="AK109" s="88"/>
      <c r="AL109" s="197" t="str">
        <f>IF($D$57="S",AL143,IF($D$57="E",AL177,"Tilt"))</f>
        <v>Promedio ponderado</v>
      </c>
      <c r="AM109" s="88"/>
      <c r="AN109" s="196"/>
      <c r="AO109" s="195"/>
      <c r="AZ109" s="69"/>
      <c r="BA109" s="69"/>
      <c r="BB109" s="69"/>
      <c r="BC109" s="69"/>
      <c r="BD109" s="69"/>
      <c r="BE109" s="70"/>
      <c r="BF109" s="89"/>
      <c r="BG109" s="69"/>
      <c r="BH109" s="69"/>
      <c r="BI109" s="69"/>
      <c r="BJ109" s="69"/>
      <c r="BK109" s="70"/>
      <c r="BL109" s="89"/>
      <c r="BM109" s="69"/>
      <c r="BN109" s="69"/>
      <c r="BO109" s="76"/>
      <c r="BP109" s="76"/>
      <c r="BQ109" s="76"/>
      <c r="BR109" s="76"/>
      <c r="BS109" s="70"/>
      <c r="BT109" s="69"/>
      <c r="BU109" s="69"/>
      <c r="BV109" s="69"/>
      <c r="BW109" s="69"/>
      <c r="BX109" s="69"/>
      <c r="BY109" s="69"/>
      <c r="BZ109" s="69"/>
      <c r="CA109" s="69"/>
      <c r="CB109" s="69"/>
      <c r="CC109" s="70"/>
      <c r="CD109" s="263"/>
      <c r="CE109" s="69"/>
      <c r="CF109" s="69"/>
      <c r="CG109" s="69"/>
      <c r="CH109" s="69"/>
    </row>
    <row r="110" spans="1:86" x14ac:dyDescent="0.2">
      <c r="A110" s="180"/>
      <c r="B110" s="88"/>
      <c r="C110" s="88"/>
      <c r="D110" s="69"/>
      <c r="E110" s="70" t="str">
        <f t="shared" si="29"/>
        <v>Forma del café( P, C, S, F, O):</v>
      </c>
      <c r="F110" s="41"/>
      <c r="H110" s="88"/>
      <c r="I110" s="88"/>
      <c r="J110" s="88"/>
      <c r="K110" s="70" t="str">
        <f t="shared" si="30"/>
        <v>Humedad, Con | Sin Cascara</v>
      </c>
      <c r="L110" s="85"/>
      <c r="M110" s="86"/>
      <c r="N110" s="68" t="str">
        <f>IF($D$57="S",N144,IF($D$57="E",N178,"Tilt"))</f>
        <v>% | %</v>
      </c>
      <c r="O110" s="76"/>
      <c r="P110" s="69"/>
      <c r="Q110" s="87"/>
      <c r="R110" s="87" t="str">
        <f>IF($D$57="S",R144,IF($D$57="E",R178,"Tilt"))</f>
        <v>Aspecto</v>
      </c>
      <c r="S110" s="87"/>
      <c r="T110" s="76"/>
      <c r="U110" s="76"/>
      <c r="V110" s="88"/>
      <c r="W110" s="88"/>
      <c r="X110" s="88"/>
      <c r="Y110" s="88"/>
      <c r="Z110" s="88"/>
      <c r="AA110" s="88"/>
      <c r="AB110" s="88"/>
      <c r="AC110" s="69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196"/>
      <c r="AO110" s="195"/>
      <c r="AZ110" s="69"/>
      <c r="BA110" s="69"/>
      <c r="BB110" s="69"/>
      <c r="BC110" s="69"/>
      <c r="BD110" s="69"/>
      <c r="BE110" s="70"/>
      <c r="BF110" s="89"/>
      <c r="BG110" s="69"/>
      <c r="BH110" s="69"/>
      <c r="BI110" s="69"/>
      <c r="BJ110" s="69"/>
      <c r="BK110" s="70"/>
      <c r="BL110" s="89"/>
      <c r="BM110" s="89"/>
      <c r="BN110" s="69"/>
      <c r="BO110" s="76"/>
      <c r="BP110" s="69"/>
      <c r="BQ110" s="113"/>
      <c r="BR110" s="113"/>
      <c r="BS110" s="113"/>
      <c r="BT110" s="76"/>
      <c r="BU110" s="76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</row>
    <row r="111" spans="1:86" x14ac:dyDescent="0.2">
      <c r="A111" s="180"/>
      <c r="B111" s="88"/>
      <c r="C111" s="88"/>
      <c r="D111" s="88"/>
      <c r="E111" s="70" t="str">
        <f t="shared" si="29"/>
        <v>Peso del lote, kg:</v>
      </c>
      <c r="F111" s="41"/>
      <c r="H111" s="88"/>
      <c r="I111" s="88"/>
      <c r="J111" s="88"/>
      <c r="K111" s="70" t="str">
        <f t="shared" si="30"/>
        <v>Método secado (P,S,C):</v>
      </c>
      <c r="L111" s="41"/>
      <c r="O111" s="76"/>
      <c r="P111" s="76"/>
      <c r="Q111" s="88"/>
      <c r="R111" s="88"/>
      <c r="S111" s="70" t="str">
        <f>IF($D$57="S",S145,IF($D$57="E",S179,"Tilt"))</f>
        <v xml:space="preserve">Fecha evaluado: </v>
      </c>
      <c r="T111" s="278"/>
      <c r="U111" s="279"/>
      <c r="V111" s="88"/>
      <c r="W111" s="198"/>
      <c r="X111" s="199"/>
      <c r="Y111" s="199"/>
      <c r="Z111" s="200"/>
      <c r="AA111" s="201" t="str">
        <f>IF($D$57="S",AA145,IF($D$57="E",AA179,"Tilt"))</f>
        <v>Salidas Estimadas, porcento del Oro Bruto</v>
      </c>
      <c r="AB111" s="199"/>
      <c r="AC111" s="202"/>
      <c r="AD111" s="203"/>
      <c r="AE111" s="88"/>
      <c r="AF111" s="88"/>
      <c r="AG111" s="88"/>
      <c r="AH111" s="88"/>
      <c r="AI111" s="88"/>
      <c r="AJ111" s="197" t="str">
        <f>IF($D$57="S",AJ145,IF($D$57="E",AJ179,"Tilt"))</f>
        <v>Porcentaje por peso</v>
      </c>
      <c r="AK111" s="88"/>
      <c r="AL111" s="88"/>
      <c r="AM111" s="88"/>
      <c r="AN111" s="196"/>
      <c r="AO111" s="195"/>
      <c r="AZ111" s="69"/>
      <c r="BA111" s="69"/>
      <c r="BB111" s="69"/>
      <c r="BC111" s="69"/>
      <c r="BD111" s="69"/>
      <c r="BE111" s="70"/>
      <c r="BF111" s="89"/>
      <c r="BG111" s="69"/>
      <c r="BH111" s="69"/>
      <c r="BI111" s="69"/>
      <c r="BJ111" s="69"/>
      <c r="BK111" s="70"/>
      <c r="BL111" s="89"/>
      <c r="BM111" s="69"/>
      <c r="BN111" s="69"/>
      <c r="BO111" s="76"/>
      <c r="BP111" s="76"/>
      <c r="BQ111" s="69"/>
      <c r="BR111" s="69"/>
      <c r="BS111" s="70"/>
      <c r="BT111" s="283"/>
      <c r="BU111" s="284"/>
      <c r="BV111" s="69"/>
      <c r="BW111" s="69"/>
      <c r="BX111" s="69"/>
      <c r="BY111" s="69"/>
      <c r="BZ111" s="254"/>
      <c r="CA111" s="113"/>
      <c r="CB111" s="69"/>
      <c r="CC111" s="260"/>
      <c r="CD111" s="69"/>
      <c r="CE111" s="69"/>
      <c r="CF111" s="69"/>
      <c r="CG111" s="69"/>
      <c r="CH111" s="69"/>
    </row>
    <row r="112" spans="1:86" x14ac:dyDescent="0.2">
      <c r="A112" s="180"/>
      <c r="B112" s="88"/>
      <c r="C112" s="88"/>
      <c r="D112" s="69"/>
      <c r="E112" s="70" t="str">
        <f t="shared" si="29"/>
        <v>Cantidad, sacos:</v>
      </c>
      <c r="F112" s="41"/>
      <c r="H112" s="88"/>
      <c r="I112" s="88"/>
      <c r="J112" s="88"/>
      <c r="K112" s="70" t="str">
        <f t="shared" si="30"/>
        <v>Peso en 75cc, g | # Criba</v>
      </c>
      <c r="L112" s="85"/>
      <c r="M112" s="86"/>
      <c r="N112" s="70"/>
      <c r="O112" s="88"/>
      <c r="P112" s="88"/>
      <c r="Q112" s="88"/>
      <c r="R112" s="88"/>
      <c r="S112" s="70" t="str">
        <f>IF($D$57="S",S146,IF($D$57="E",S180,"Tilt"))</f>
        <v xml:space="preserve">Evaluado por: </v>
      </c>
      <c r="T112" s="77"/>
      <c r="U112" s="80"/>
      <c r="V112" s="88"/>
      <c r="W112" s="96"/>
      <c r="X112" s="97"/>
      <c r="Y112" s="97"/>
      <c r="Z112" s="97"/>
      <c r="AA112" s="97"/>
      <c r="AB112" s="97"/>
      <c r="AC112" s="97"/>
      <c r="AD112" s="204"/>
      <c r="AE112" s="88"/>
      <c r="AF112" s="88"/>
      <c r="AG112" s="88"/>
      <c r="AH112" s="88"/>
      <c r="AI112" s="88"/>
      <c r="AJ112" s="88"/>
      <c r="AK112" s="88"/>
      <c r="AL112" s="88"/>
      <c r="AM112" s="88"/>
      <c r="AN112" s="196"/>
      <c r="AO112" s="205"/>
      <c r="AZ112" s="69"/>
      <c r="BA112" s="69"/>
      <c r="BB112" s="69"/>
      <c r="BC112" s="69"/>
      <c r="BD112" s="69"/>
      <c r="BE112" s="70"/>
      <c r="BF112" s="89"/>
      <c r="BG112" s="69"/>
      <c r="BH112" s="69"/>
      <c r="BI112" s="69"/>
      <c r="BJ112" s="69"/>
      <c r="BK112" s="70"/>
      <c r="BL112" s="89"/>
      <c r="BM112" s="89"/>
      <c r="BN112" s="70"/>
      <c r="BO112" s="69"/>
      <c r="BP112" s="69"/>
      <c r="BQ112" s="69"/>
      <c r="BR112" s="69"/>
      <c r="BS112" s="70"/>
      <c r="BT112" s="262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</row>
    <row r="113" spans="1:86" x14ac:dyDescent="0.2">
      <c r="A113" s="180"/>
      <c r="B113" s="88"/>
      <c r="C113" s="88"/>
      <c r="D113" s="69"/>
      <c r="E113" s="70" t="str">
        <f t="shared" si="29"/>
        <v>Fuente del Café, BH:</v>
      </c>
      <c r="F113" s="41"/>
      <c r="H113" s="88"/>
      <c r="I113" s="88"/>
      <c r="J113" s="88"/>
      <c r="K113" s="70" t="str">
        <f t="shared" si="30"/>
        <v>Uniformidad del oro (1-5):</v>
      </c>
      <c r="L113" s="41"/>
      <c r="M113" s="99" t="str">
        <f>IF($D$57="S",M147,IF($D$57="E",M181,"Tilt"))</f>
        <v xml:space="preserve"> 5 = todos igales</v>
      </c>
      <c r="O113" s="88"/>
      <c r="P113" s="88"/>
      <c r="Q113" s="87"/>
      <c r="R113" s="87" t="str">
        <f>IF($D$57="S",R147,IF($D$57="E",R181,"Tilt"))</f>
        <v>La Taza</v>
      </c>
      <c r="S113" s="87"/>
      <c r="T113" s="76"/>
      <c r="U113" s="76"/>
      <c r="V113" s="88"/>
      <c r="W113" s="96"/>
      <c r="X113" s="97"/>
      <c r="Y113" s="97"/>
      <c r="Z113" s="97"/>
      <c r="AA113" s="97"/>
      <c r="AB113" s="97"/>
      <c r="AC113" s="101" t="str">
        <f>IF($D$57="S",AC147,IF($D$57="E",AC181,"Tilt"))</f>
        <v>Grado Reserva Exportable, %</v>
      </c>
      <c r="AD113" s="206" t="s">
        <v>98</v>
      </c>
      <c r="AE113" s="88"/>
      <c r="AF113" s="88"/>
      <c r="AG113" s="88"/>
      <c r="AH113" s="88"/>
      <c r="AI113" s="88"/>
      <c r="AJ113" s="197" t="str">
        <f>IF($D$57="S",AJ147,IF($D$57="E",AJ181,"Tilt"))</f>
        <v>Granos</v>
      </c>
      <c r="AK113" s="88"/>
      <c r="AL113" s="197" t="str">
        <f>IF($D$57="S",AL147,IF($D$57="E",AL181,"Tilt"))</f>
        <v>Defectos</v>
      </c>
      <c r="AM113" s="88"/>
      <c r="AN113" s="196"/>
      <c r="AO113" s="205"/>
      <c r="AZ113" s="69"/>
      <c r="BA113" s="69"/>
      <c r="BB113" s="69"/>
      <c r="BC113" s="69"/>
      <c r="BD113" s="69"/>
      <c r="BE113" s="70"/>
      <c r="BF113" s="89"/>
      <c r="BG113" s="69"/>
      <c r="BH113" s="69"/>
      <c r="BI113" s="69"/>
      <c r="BJ113" s="69"/>
      <c r="BK113" s="70"/>
      <c r="BL113" s="89"/>
      <c r="BM113" s="76"/>
      <c r="BN113" s="69"/>
      <c r="BO113" s="69"/>
      <c r="BP113" s="69"/>
      <c r="BQ113" s="113"/>
      <c r="BR113" s="113"/>
      <c r="BS113" s="113"/>
      <c r="BT113" s="76"/>
      <c r="BU113" s="76"/>
      <c r="BV113" s="69"/>
      <c r="BW113" s="69"/>
      <c r="BX113" s="69"/>
      <c r="BY113" s="69"/>
      <c r="BZ113" s="69"/>
      <c r="CA113" s="69"/>
      <c r="CB113" s="69"/>
      <c r="CC113" s="70"/>
      <c r="CD113" s="264"/>
      <c r="CE113" s="69"/>
      <c r="CF113" s="69"/>
      <c r="CG113" s="69"/>
      <c r="CH113" s="69"/>
    </row>
    <row r="114" spans="1:86" x14ac:dyDescent="0.2">
      <c r="A114" s="180"/>
      <c r="B114" s="88"/>
      <c r="C114" s="88"/>
      <c r="D114" s="69"/>
      <c r="E114" s="70" t="str">
        <f t="shared" si="29"/>
        <v># ID del fuente:</v>
      </c>
      <c r="F114" s="41"/>
      <c r="H114" s="88"/>
      <c r="I114" s="88"/>
      <c r="J114" s="88"/>
      <c r="K114" s="70" t="str">
        <f>IF($D$57="S",K148,IF($D$57="E",K182,"Tilt"))</f>
        <v>Color en oro:</v>
      </c>
      <c r="L114" s="41"/>
      <c r="N114" s="104" t="str">
        <f>IF($D$57="S",N148,IF($D$57="E",N182,"Tilt"))</f>
        <v xml:space="preserve">  Evaluadas</v>
      </c>
      <c r="O114" s="88"/>
      <c r="P114" s="88"/>
      <c r="Q114" s="88"/>
      <c r="R114" s="88"/>
      <c r="S114" s="70" t="str">
        <f>IF($D$57="S",S148,IF($D$57="E",S182,"Tilt"))</f>
        <v xml:space="preserve">Fecha evaluado: </v>
      </c>
      <c r="T114" s="278"/>
      <c r="U114" s="279"/>
      <c r="V114" s="88"/>
      <c r="W114" s="96"/>
      <c r="X114" s="97"/>
      <c r="Y114" s="97"/>
      <c r="Z114" s="97"/>
      <c r="AA114" s="97"/>
      <c r="AB114" s="97"/>
      <c r="AC114" s="101" t="str">
        <f>IF($D$57="S",AC148,IF($D$57="E",AC182,"Tilt"))</f>
        <v>Grado EP Exportable, %</v>
      </c>
      <c r="AD114" s="206" t="s">
        <v>98</v>
      </c>
      <c r="AE114" s="88"/>
      <c r="AF114" s="88"/>
      <c r="AG114" s="88"/>
      <c r="AH114" s="88"/>
      <c r="AI114" s="88"/>
      <c r="AJ114" s="88"/>
      <c r="AK114" s="88"/>
      <c r="AL114" s="88"/>
      <c r="AM114" s="88"/>
      <c r="AN114" s="196"/>
      <c r="AO114" s="205"/>
      <c r="AZ114" s="69"/>
      <c r="BA114" s="69"/>
      <c r="BB114" s="69"/>
      <c r="BC114" s="69"/>
      <c r="BD114" s="69"/>
      <c r="BE114" s="70"/>
      <c r="BF114" s="89"/>
      <c r="BG114" s="69"/>
      <c r="BH114" s="69"/>
      <c r="BI114" s="69"/>
      <c r="BJ114" s="69"/>
      <c r="BK114" s="70"/>
      <c r="BL114" s="89"/>
      <c r="BM114" s="69"/>
      <c r="BN114" s="265"/>
      <c r="BO114" s="69"/>
      <c r="BP114" s="69"/>
      <c r="BQ114" s="69"/>
      <c r="BR114" s="69"/>
      <c r="BS114" s="70"/>
      <c r="BT114" s="283"/>
      <c r="BU114" s="284"/>
      <c r="BV114" s="69"/>
      <c r="BW114" s="69"/>
      <c r="BX114" s="69"/>
      <c r="BY114" s="69"/>
      <c r="BZ114" s="69"/>
      <c r="CA114" s="69"/>
      <c r="CB114" s="69"/>
      <c r="CC114" s="70"/>
      <c r="CD114" s="264"/>
      <c r="CE114" s="69"/>
      <c r="CF114" s="69"/>
      <c r="CG114" s="69"/>
      <c r="CH114" s="69"/>
    </row>
    <row r="115" spans="1:86" x14ac:dyDescent="0.2">
      <c r="A115" s="180"/>
      <c r="B115" s="88"/>
      <c r="C115" s="88"/>
      <c r="D115" s="69"/>
      <c r="E115" s="70" t="str">
        <f t="shared" si="29"/>
        <v>Cert. (Sin, Org, Utz):</v>
      </c>
      <c r="F115" s="41"/>
      <c r="H115" s="88"/>
      <c r="I115" s="88"/>
      <c r="J115" s="88"/>
      <c r="K115" s="70" t="str">
        <f>IF($D$57="S",K149,IF($D$57="E",K183,"Tilt"))</f>
        <v>Actividad Agua, %:</v>
      </c>
      <c r="L115" s="41"/>
      <c r="N115" s="105" t="str">
        <f>IF($D$57="S",N149,IF($D$57="E",N183,"Tilt"))</f>
        <v>Tazas:</v>
      </c>
      <c r="O115" s="59"/>
      <c r="P115" s="88"/>
      <c r="Q115" s="88"/>
      <c r="R115" s="88"/>
      <c r="S115" s="70" t="str">
        <f>IF($D$57="S",S149,IF($D$57="E",S183,"Tilt"))</f>
        <v xml:space="preserve">Evaluado por: </v>
      </c>
      <c r="T115" s="77"/>
      <c r="U115" s="80"/>
      <c r="V115" s="88"/>
      <c r="W115" s="207"/>
      <c r="X115" s="208"/>
      <c r="Y115" s="208"/>
      <c r="Z115" s="208"/>
      <c r="AA115" s="208"/>
      <c r="AB115" s="208"/>
      <c r="AC115" s="209" t="str">
        <f>IF($D$57="S",AC149,IF($D$57="E",AC183,"Tilt"))</f>
        <v>Grado AP Exportable, %</v>
      </c>
      <c r="AD115" s="210" t="s">
        <v>98</v>
      </c>
      <c r="AE115" s="88"/>
      <c r="AF115" s="88"/>
      <c r="AG115" s="88"/>
      <c r="AH115" s="88"/>
      <c r="AI115" s="88"/>
      <c r="AJ115" s="88"/>
      <c r="AK115" s="88"/>
      <c r="AL115" s="88"/>
      <c r="AM115" s="88"/>
      <c r="AN115" s="196"/>
      <c r="AO115" s="205"/>
      <c r="AZ115" s="69"/>
      <c r="BA115" s="69"/>
      <c r="BB115" s="69"/>
      <c r="BC115" s="69"/>
      <c r="BD115" s="69"/>
      <c r="BE115" s="70"/>
      <c r="BF115" s="89"/>
      <c r="BG115" s="69"/>
      <c r="BH115" s="69"/>
      <c r="BI115" s="69"/>
      <c r="BJ115" s="69"/>
      <c r="BK115" s="70"/>
      <c r="BL115" s="89"/>
      <c r="BM115" s="69"/>
      <c r="BN115" s="70"/>
      <c r="BO115" s="89"/>
      <c r="BP115" s="69"/>
      <c r="BQ115" s="69"/>
      <c r="BR115" s="69"/>
      <c r="BS115" s="70"/>
      <c r="BT115" s="262"/>
      <c r="BU115" s="69"/>
      <c r="BV115" s="69"/>
      <c r="BW115" s="69"/>
      <c r="BX115" s="69"/>
      <c r="BY115" s="69"/>
      <c r="BZ115" s="69"/>
      <c r="CA115" s="69"/>
      <c r="CB115" s="69"/>
      <c r="CC115" s="70"/>
      <c r="CD115" s="264"/>
      <c r="CE115" s="69"/>
      <c r="CF115" s="69"/>
      <c r="CG115" s="69"/>
      <c r="CH115" s="69"/>
    </row>
    <row r="116" spans="1:86" x14ac:dyDescent="0.2">
      <c r="A116" s="180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196"/>
      <c r="AO116" s="205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</row>
    <row r="117" spans="1:86" ht="13.5" thickBot="1" x14ac:dyDescent="0.25">
      <c r="A117" s="180"/>
      <c r="B117" s="88"/>
      <c r="C117" s="70" t="str">
        <f>IF($D$57="S",C151,IF($D$57="E",C185,"Tilt"))</f>
        <v xml:space="preserve">La Taza:  </v>
      </c>
      <c r="D117" s="88"/>
      <c r="E117" s="88"/>
      <c r="F117" s="88"/>
      <c r="G117" s="88"/>
      <c r="H117" s="88"/>
      <c r="I117" s="70" t="str">
        <f>IF($D$57="S",I151,IF($D$57="E",I185,"Tilt"))</f>
        <v xml:space="preserve">Sabor: </v>
      </c>
      <c r="J117" s="211"/>
      <c r="K117" s="88"/>
      <c r="L117" s="88"/>
      <c r="M117" s="88"/>
      <c r="N117" s="88"/>
      <c r="O117" s="70" t="str">
        <f>IF($D$57="S",O151,IF($D$57="E",O185,"Tilt"))</f>
        <v xml:space="preserve">Acidez: </v>
      </c>
      <c r="P117" s="211"/>
      <c r="Q117" s="88"/>
      <c r="R117" s="88"/>
      <c r="S117" s="88"/>
      <c r="T117" s="88"/>
      <c r="U117" s="70" t="str">
        <f>IF($D$57="S",U151,IF($D$57="E",U185,"Tilt"))</f>
        <v xml:space="preserve">Balance: </v>
      </c>
      <c r="V117" s="211"/>
      <c r="W117" s="88"/>
      <c r="X117" s="88"/>
      <c r="Y117" s="88"/>
      <c r="Z117" s="88"/>
      <c r="AA117" s="88"/>
      <c r="AB117" s="88"/>
      <c r="AC117" s="70" t="str">
        <f>IF($D$57="S",AC151,IF($D$57="E",AC185,"Tilt"))</f>
        <v xml:space="preserve">Puntuacion de la Taza: </v>
      </c>
      <c r="AD117" s="81"/>
      <c r="AE117" s="88"/>
      <c r="AF117" s="88"/>
      <c r="AG117" s="88"/>
      <c r="AH117" s="88"/>
      <c r="AI117" s="88"/>
      <c r="AJ117" s="88"/>
      <c r="AK117" s="88"/>
      <c r="AL117" s="88"/>
      <c r="AM117" s="88"/>
      <c r="AN117" s="196"/>
      <c r="AO117" s="205"/>
      <c r="AZ117" s="69"/>
      <c r="BA117" s="69"/>
      <c r="BB117" s="69"/>
      <c r="BC117" s="70"/>
      <c r="BD117" s="69"/>
      <c r="BE117" s="69"/>
      <c r="BF117" s="69"/>
      <c r="BG117" s="69"/>
      <c r="BH117" s="69"/>
      <c r="BI117" s="70"/>
      <c r="BJ117" s="89"/>
      <c r="BK117" s="69"/>
      <c r="BL117" s="69"/>
      <c r="BM117" s="69"/>
      <c r="BN117" s="69"/>
      <c r="BO117" s="70"/>
      <c r="BP117" s="89"/>
      <c r="BQ117" s="69"/>
      <c r="BR117" s="69"/>
      <c r="BS117" s="69"/>
      <c r="BT117" s="69"/>
      <c r="BU117" s="70"/>
      <c r="BV117" s="89"/>
      <c r="BW117" s="69"/>
      <c r="BX117" s="69"/>
      <c r="BY117" s="69"/>
      <c r="BZ117" s="69"/>
      <c r="CA117" s="69"/>
      <c r="CB117" s="69"/>
      <c r="CC117" s="70"/>
      <c r="CD117" s="263"/>
      <c r="CE117" s="69"/>
      <c r="CF117" s="69"/>
      <c r="CG117" s="69"/>
      <c r="CH117" s="69"/>
    </row>
    <row r="118" spans="1:86" x14ac:dyDescent="0.2">
      <c r="A118" s="180"/>
      <c r="B118" s="88"/>
      <c r="C118" s="88"/>
      <c r="D118" s="70" t="str">
        <f>IF($D$57="S",D152,IF($D$57="E",D186,"Tilt"))</f>
        <v xml:space="preserve">Fragrancia/Aroma: </v>
      </c>
      <c r="E118" s="212"/>
      <c r="F118" s="88"/>
      <c r="G118" s="88"/>
      <c r="H118" s="88"/>
      <c r="I118" s="88"/>
      <c r="J118" s="213" t="str">
        <f>IF($D$57="S",J152,IF($D$57="E",J186,"Tilt"))</f>
        <v xml:space="preserve">Cualidades: </v>
      </c>
      <c r="K118" s="275"/>
      <c r="L118" s="275"/>
      <c r="M118" s="275"/>
      <c r="N118" s="88"/>
      <c r="O118" s="88"/>
      <c r="P118" s="213" t="str">
        <f>IF($D$57="S",P152,IF($D$57="E",P186,"Tilt"))</f>
        <v xml:space="preserve">Cualidades: </v>
      </c>
      <c r="Q118" s="275"/>
      <c r="R118" s="275"/>
      <c r="S118" s="275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196"/>
      <c r="AO118" s="205"/>
      <c r="AZ118" s="69"/>
      <c r="BA118" s="69"/>
      <c r="BB118" s="69"/>
      <c r="BC118" s="69"/>
      <c r="BD118" s="70"/>
      <c r="BE118" s="89"/>
      <c r="BF118" s="69"/>
      <c r="BG118" s="69"/>
      <c r="BH118" s="69"/>
      <c r="BI118" s="69"/>
      <c r="BJ118" s="213"/>
      <c r="BK118" s="285"/>
      <c r="BL118" s="285"/>
      <c r="BM118" s="285"/>
      <c r="BN118" s="69"/>
      <c r="BO118" s="69"/>
      <c r="BP118" s="213"/>
      <c r="BQ118" s="285"/>
      <c r="BR118" s="285"/>
      <c r="BS118" s="285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</row>
    <row r="119" spans="1:86" x14ac:dyDescent="0.2">
      <c r="A119" s="180"/>
      <c r="B119" s="211"/>
      <c r="C119" s="88"/>
      <c r="D119" s="70" t="str">
        <f>IF($D$57="S",D153,IF($D$57="E",D187,"Tilt"))</f>
        <v xml:space="preserve">Seco: </v>
      </c>
      <c r="E119" s="88"/>
      <c r="F119" s="70" t="str">
        <f>IF($D$57="S",F153,IF($D$57="E",F187,"Tilt"))</f>
        <v>Mojado:</v>
      </c>
      <c r="G119" s="88"/>
      <c r="H119" s="88"/>
      <c r="I119" s="88"/>
      <c r="J119" s="88"/>
      <c r="K119" s="88"/>
      <c r="L119" s="88"/>
      <c r="M119" s="88"/>
      <c r="N119" s="88"/>
      <c r="O119" s="88"/>
      <c r="P119" s="213" t="str">
        <f>IF($D$57="S",P153,IF($D$57="E",P187,"Tilt"))</f>
        <v xml:space="preserve">Intensidad 1-5: </v>
      </c>
      <c r="Q119" s="214"/>
      <c r="R119" s="88"/>
      <c r="S119" s="88"/>
      <c r="T119" s="88"/>
      <c r="U119" s="70" t="str">
        <f>IF($D$57="S",U153,IF($D$57="E",U187,"Tilt"))</f>
        <v xml:space="preserve">Uniformidad - tazas: </v>
      </c>
      <c r="V119" s="211"/>
      <c r="W119" s="88"/>
      <c r="X119" s="88"/>
      <c r="Y119" s="88"/>
      <c r="Z119" s="70" t="str">
        <f>IF($D$57="S",Z153,IF($D$57="E",Z187,"Tilt"))</f>
        <v xml:space="preserve">Puntaje Catador: </v>
      </c>
      <c r="AA119" s="211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196"/>
      <c r="AO119" s="205"/>
      <c r="AZ119" s="69"/>
      <c r="BA119" s="69"/>
      <c r="BB119" s="89"/>
      <c r="BC119" s="69"/>
      <c r="BD119" s="70"/>
      <c r="BE119" s="69"/>
      <c r="BF119" s="70"/>
      <c r="BG119" s="69"/>
      <c r="BH119" s="69"/>
      <c r="BI119" s="69"/>
      <c r="BJ119" s="69"/>
      <c r="BK119" s="69"/>
      <c r="BL119" s="69"/>
      <c r="BM119" s="69"/>
      <c r="BN119" s="69"/>
      <c r="BO119" s="69"/>
      <c r="BP119" s="213"/>
      <c r="BQ119" s="89"/>
      <c r="BR119" s="69"/>
      <c r="BS119" s="69"/>
      <c r="BT119" s="69"/>
      <c r="BU119" s="70"/>
      <c r="BV119" s="89"/>
      <c r="BW119" s="69"/>
      <c r="BX119" s="69"/>
      <c r="BY119" s="69"/>
      <c r="BZ119" s="70"/>
      <c r="CA119" s="89"/>
      <c r="CB119" s="69"/>
      <c r="CC119" s="69"/>
      <c r="CD119" s="69"/>
      <c r="CE119" s="69"/>
      <c r="CF119" s="69"/>
      <c r="CG119" s="69"/>
      <c r="CH119" s="69"/>
    </row>
    <row r="120" spans="1:86" x14ac:dyDescent="0.2">
      <c r="A120" s="180"/>
      <c r="B120" s="88"/>
      <c r="C120" s="88"/>
      <c r="D120" s="211"/>
      <c r="E120" s="88"/>
      <c r="F120" s="211"/>
      <c r="G120" s="88"/>
      <c r="H120" s="88"/>
      <c r="I120" s="116" t="s">
        <v>22</v>
      </c>
      <c r="J120" s="211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196"/>
      <c r="AO120" s="205"/>
      <c r="AZ120" s="69"/>
      <c r="BA120" s="69"/>
      <c r="BB120" s="69"/>
      <c r="BC120" s="69"/>
      <c r="BD120" s="89"/>
      <c r="BE120" s="69"/>
      <c r="BF120" s="89"/>
      <c r="BG120" s="69"/>
      <c r="BH120" s="69"/>
      <c r="BI120" s="70"/>
      <c r="BJ120" s="8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</row>
    <row r="121" spans="1:86" x14ac:dyDescent="0.2">
      <c r="A121" s="180"/>
      <c r="B121" s="88"/>
      <c r="C121" s="88"/>
      <c r="D121" s="213" t="str">
        <f>IF($D$57="S",D155,IF($D$57="E",D189,"Tilt"))</f>
        <v>Cualidades 1:</v>
      </c>
      <c r="E121" s="275"/>
      <c r="F121" s="275"/>
      <c r="G121" s="275"/>
      <c r="H121" s="88"/>
      <c r="I121" s="88"/>
      <c r="J121" s="213" t="str">
        <f>IF($D$57="S",J155,IF($D$57="E",J189,"Tilt"))</f>
        <v xml:space="preserve">Cualidades: </v>
      </c>
      <c r="K121" s="275" t="s">
        <v>80</v>
      </c>
      <c r="L121" s="275"/>
      <c r="M121" s="275"/>
      <c r="N121" s="88"/>
      <c r="O121" s="70" t="str">
        <f>IF($D$57="S",O155,IF($D$57="E",O189,"Tilt"))</f>
        <v xml:space="preserve">Cuerpo: </v>
      </c>
      <c r="P121" s="211"/>
      <c r="Q121" s="88"/>
      <c r="R121" s="88"/>
      <c r="S121" s="88"/>
      <c r="T121" s="88"/>
      <c r="U121" s="70" t="str">
        <f>IF($D$57="S",U155,IF($D$57="E",U189,"Tilt"))</f>
        <v xml:space="preserve">Taza limpia: </v>
      </c>
      <c r="V121" s="211"/>
      <c r="W121" s="88"/>
      <c r="X121" s="88"/>
      <c r="Y121" s="88"/>
      <c r="Z121" s="70" t="str">
        <f>IF($D$57="S",Z155,IF($D$57="E",Z189,"Tilt"))</f>
        <v xml:space="preserve">Defectos: </v>
      </c>
      <c r="AA121" s="212"/>
      <c r="AB121" s="197" t="str">
        <f>IF($D$57="S",AB155,IF($D$57="E",AB189,"Tilt"))</f>
        <v>(Sustraer)</v>
      </c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196"/>
      <c r="AO121" s="205"/>
      <c r="AZ121" s="69"/>
      <c r="BA121" s="69"/>
      <c r="BB121" s="69"/>
      <c r="BC121" s="69"/>
      <c r="BD121" s="213"/>
      <c r="BE121" s="285"/>
      <c r="BF121" s="285"/>
      <c r="BG121" s="285"/>
      <c r="BH121" s="69"/>
      <c r="BI121" s="69"/>
      <c r="BJ121" s="213"/>
      <c r="BK121" s="285"/>
      <c r="BL121" s="285"/>
      <c r="BM121" s="285"/>
      <c r="BN121" s="69"/>
      <c r="BO121" s="70"/>
      <c r="BP121" s="89"/>
      <c r="BQ121" s="69"/>
      <c r="BR121" s="69"/>
      <c r="BS121" s="69"/>
      <c r="BT121" s="69"/>
      <c r="BU121" s="70"/>
      <c r="BV121" s="89"/>
      <c r="BW121" s="69"/>
      <c r="BX121" s="69"/>
      <c r="BY121" s="69"/>
      <c r="BZ121" s="70"/>
      <c r="CA121" s="89"/>
      <c r="CB121" s="197"/>
      <c r="CC121" s="69"/>
      <c r="CD121" s="69"/>
      <c r="CE121" s="69"/>
      <c r="CF121" s="69"/>
      <c r="CG121" s="69"/>
      <c r="CH121" s="69"/>
    </row>
    <row r="122" spans="1:86" x14ac:dyDescent="0.2">
      <c r="A122" s="180"/>
      <c r="B122" s="88"/>
      <c r="C122" s="88"/>
      <c r="D122" s="70" t="str">
        <f>IF($D$57="S",D156,IF($D$57="E",D190,"Tilt"))</f>
        <v xml:space="preserve">Espuma: </v>
      </c>
      <c r="E122" s="211"/>
      <c r="F122" s="215"/>
      <c r="G122" s="88"/>
      <c r="H122" s="88"/>
      <c r="I122" s="88"/>
      <c r="J122" s="88"/>
      <c r="K122" s="213" t="str">
        <f>IF($D$57="S",K156,IF($D$57="E",K190,"Tilt"))</f>
        <v xml:space="preserve">Quakers: </v>
      </c>
      <c r="L122" s="211"/>
      <c r="M122" s="88"/>
      <c r="N122" s="88"/>
      <c r="O122" s="88"/>
      <c r="P122" s="213" t="str">
        <f>IF($D$57="S",P156,IF($D$57="E",P190,"Tilt"))</f>
        <v xml:space="preserve">Cualidades: </v>
      </c>
      <c r="Q122" s="275" t="s">
        <v>84</v>
      </c>
      <c r="R122" s="275"/>
      <c r="S122" s="275"/>
      <c r="T122" s="88"/>
      <c r="U122" s="88"/>
      <c r="V122" s="88"/>
      <c r="W122" s="88"/>
      <c r="X122" s="88"/>
      <c r="Y122" s="88"/>
      <c r="Z122" s="138" t="s">
        <v>29</v>
      </c>
      <c r="AA122" s="211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196"/>
      <c r="AO122" s="205"/>
      <c r="AZ122" s="69"/>
      <c r="BA122" s="69"/>
      <c r="BB122" s="69"/>
      <c r="BC122" s="69"/>
      <c r="BD122" s="70"/>
      <c r="BE122" s="89"/>
      <c r="BF122" s="197"/>
      <c r="BG122" s="69"/>
      <c r="BH122" s="69"/>
      <c r="BI122" s="69"/>
      <c r="BJ122" s="69"/>
      <c r="BK122" s="213"/>
      <c r="BL122" s="89"/>
      <c r="BM122" s="69"/>
      <c r="BN122" s="69"/>
      <c r="BO122" s="69"/>
      <c r="BP122" s="213"/>
      <c r="BQ122" s="285"/>
      <c r="BR122" s="285"/>
      <c r="BS122" s="285"/>
      <c r="BT122" s="69"/>
      <c r="BU122" s="69"/>
      <c r="BV122" s="69"/>
      <c r="BW122" s="69"/>
      <c r="BX122" s="69"/>
      <c r="BY122" s="69"/>
      <c r="BZ122" s="213"/>
      <c r="CA122" s="89"/>
      <c r="CB122" s="69"/>
      <c r="CC122" s="69"/>
      <c r="CD122" s="69"/>
      <c r="CE122" s="69"/>
      <c r="CF122" s="69"/>
      <c r="CG122" s="69"/>
      <c r="CH122" s="69"/>
    </row>
    <row r="123" spans="1:86" x14ac:dyDescent="0.2">
      <c r="A123" s="180"/>
      <c r="B123" s="88"/>
      <c r="C123" s="88"/>
      <c r="D123" s="213" t="str">
        <f>IF($D$57="S",D157,IF($D$57="E",D191,"Tilt"))</f>
        <v>Cualidades 2-3:</v>
      </c>
      <c r="E123" s="275"/>
      <c r="F123" s="275"/>
      <c r="G123" s="275"/>
      <c r="H123" s="88"/>
      <c r="I123" s="88"/>
      <c r="J123" s="213"/>
      <c r="K123" s="213" t="str">
        <f>IF($D$57="S",K157,IF($D$57="E",K191,"Tilt"))</f>
        <v xml:space="preserve">Uniformidad tostado: </v>
      </c>
      <c r="L123" s="211"/>
      <c r="M123" s="196" t="s">
        <v>83</v>
      </c>
      <c r="N123" s="88"/>
      <c r="O123" s="88"/>
      <c r="P123" s="213" t="str">
        <f>IF($D$57="S",P157,IF($D$57="E",P191,"Tilt"))</f>
        <v xml:space="preserve">Intensidad 1-5: </v>
      </c>
      <c r="Q123" s="214"/>
      <c r="R123" s="88"/>
      <c r="S123" s="88"/>
      <c r="T123" s="88"/>
      <c r="U123" s="70" t="str">
        <f>IF($D$57="S",U157,IF($D$57="E",U191,"Tilt"))</f>
        <v xml:space="preserve">Dulzor: </v>
      </c>
      <c r="V123" s="211"/>
      <c r="W123" s="88"/>
      <c r="X123" s="88"/>
      <c r="Y123" s="88"/>
      <c r="Z123" s="213" t="s">
        <v>32</v>
      </c>
      <c r="AA123" s="211"/>
      <c r="AB123" s="197" t="str">
        <f>IF($D$57="S",AB157,IF($D$57="E",AB191,"Tilt"))</f>
        <v>( 1 - 5 )     ( 4 = rechazo)</v>
      </c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196"/>
      <c r="AO123" s="205"/>
      <c r="AZ123" s="69"/>
      <c r="BA123" s="69"/>
      <c r="BB123" s="69"/>
      <c r="BC123" s="69"/>
      <c r="BD123" s="213"/>
      <c r="BE123" s="285"/>
      <c r="BF123" s="285"/>
      <c r="BG123" s="285"/>
      <c r="BH123" s="69"/>
      <c r="BI123" s="69"/>
      <c r="BJ123" s="213"/>
      <c r="BK123" s="213"/>
      <c r="BL123" s="89"/>
      <c r="BM123" s="89"/>
      <c r="BN123" s="69"/>
      <c r="BO123" s="69"/>
      <c r="BP123" s="213"/>
      <c r="BQ123" s="89"/>
      <c r="BR123" s="69"/>
      <c r="BS123" s="69"/>
      <c r="BT123" s="69"/>
      <c r="BU123" s="70"/>
      <c r="BV123" s="89"/>
      <c r="BW123" s="69"/>
      <c r="BX123" s="69"/>
      <c r="BY123" s="69"/>
      <c r="BZ123" s="213"/>
      <c r="CA123" s="89"/>
      <c r="CB123" s="197"/>
      <c r="CC123" s="69"/>
      <c r="CD123" s="69"/>
      <c r="CE123" s="69"/>
      <c r="CF123" s="69"/>
      <c r="CG123" s="69"/>
      <c r="CH123" s="69"/>
    </row>
    <row r="124" spans="1:86" x14ac:dyDescent="0.2">
      <c r="A124" s="180"/>
      <c r="B124" s="115"/>
      <c r="C124" s="116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196"/>
      <c r="AO124" s="205"/>
      <c r="AZ124" s="69"/>
      <c r="BA124" s="69"/>
      <c r="BB124" s="254"/>
      <c r="BC124" s="70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</row>
    <row r="125" spans="1:86" x14ac:dyDescent="0.2">
      <c r="A125" s="180"/>
      <c r="B125" s="118"/>
      <c r="C125" s="88"/>
      <c r="D125" s="88"/>
      <c r="E125" s="88"/>
      <c r="F125" s="119" t="str">
        <f>IF($D$57="S",F159,IF($D$57="E",F193,"Tilt"))</f>
        <v>Cantidad</v>
      </c>
      <c r="G125" s="88"/>
      <c r="H125" s="88"/>
      <c r="I125" s="88"/>
      <c r="J125" s="88"/>
      <c r="K125" s="88"/>
      <c r="L125" s="88"/>
      <c r="M125" s="119" t="str">
        <f>IF($D$57="S",M159,IF($D$57="E",M193,"Tilt"))</f>
        <v>Nombres de los Defectos</v>
      </c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196"/>
      <c r="AO125" s="205"/>
      <c r="AZ125" s="69"/>
      <c r="BA125" s="69"/>
      <c r="BB125" s="113"/>
      <c r="BC125" s="69"/>
      <c r="BD125" s="69"/>
      <c r="BE125" s="69"/>
      <c r="BF125" s="266"/>
      <c r="BG125" s="69"/>
      <c r="BH125" s="69"/>
      <c r="BI125" s="69"/>
      <c r="BJ125" s="69"/>
      <c r="BK125" s="69"/>
      <c r="BL125" s="69"/>
      <c r="BM125" s="266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</row>
    <row r="126" spans="1:86" ht="70.5" x14ac:dyDescent="0.2">
      <c r="A126" s="180"/>
      <c r="B126" s="216" t="str">
        <f>IF($D$57="S",B160,IF($D$57="E",B194,"Tilt"))</f>
        <v>Criba</v>
      </c>
      <c r="C126" s="216" t="str">
        <f>IF($D$57="S",C160,IF($D$57="E",C194,"Tilt"))</f>
        <v xml:space="preserve">Peso, g </v>
      </c>
      <c r="D126" s="217" t="str">
        <f>IF($D$57="S",D160,IF($D$57="E",D194,"Tilt"))</f>
        <v>%</v>
      </c>
      <c r="E126" s="216" t="str">
        <f>IF($D$57="S",E160,IF($D$57="E",E194,"Tilt"))</f>
        <v>Defectos, g</v>
      </c>
      <c r="F126" s="216" t="str">
        <f>IF($D$57="S",F160,IF($D$57="E",F194,"Tilt"))</f>
        <v>Defectos, % en su criba</v>
      </c>
      <c r="G126" s="216">
        <f t="shared" ref="G126:L126" si="32">IF($D$57="S",G160,IF($D$57="E",G194,"Tilt"))</f>
        <v>0</v>
      </c>
      <c r="H126" s="218" t="str">
        <f t="shared" si="32"/>
        <v>Broca Severa</v>
      </c>
      <c r="I126" s="219" t="str">
        <f t="shared" si="32"/>
        <v>Broca</v>
      </c>
      <c r="J126" s="218" t="str">
        <f t="shared" si="32"/>
        <v>Negro</v>
      </c>
      <c r="K126" s="219" t="str">
        <f t="shared" si="32"/>
        <v>Negro Parcial</v>
      </c>
      <c r="L126" s="218" t="str">
        <f t="shared" si="32"/>
        <v>Agrio</v>
      </c>
      <c r="M126" s="219" t="str">
        <f>IF($D$57="S",M160,IF($D$57="E",M194,"Tilt"))</f>
        <v>Agrio parcial</v>
      </c>
      <c r="N126" s="219" t="str">
        <f t="shared" ref="N126:AD126" si="33">IF($D$57="S",N160,IF($D$57="E",N194,"Tilt"))</f>
        <v>Aplastado</v>
      </c>
      <c r="O126" s="219" t="str">
        <f t="shared" si="33"/>
        <v>Daño</v>
      </c>
      <c r="P126" s="219" t="str">
        <f t="shared" si="33"/>
        <v>Dano y Agrio parcial</v>
      </c>
      <c r="Q126" s="219" t="str">
        <f t="shared" si="33"/>
        <v>Blanco</v>
      </c>
      <c r="R126" s="219" t="str">
        <f t="shared" si="33"/>
        <v>Elefante</v>
      </c>
      <c r="S126" s="219" t="str">
        <f t="shared" si="33"/>
        <v>Concha</v>
      </c>
      <c r="T126" s="219" t="str">
        <f t="shared" si="33"/>
        <v>Malformado</v>
      </c>
      <c r="U126" s="218" t="str">
        <f t="shared" si="33"/>
        <v>Daño de hongos</v>
      </c>
      <c r="V126" s="219" t="str">
        <f t="shared" si="33"/>
        <v>Inmaduro</v>
      </c>
      <c r="W126" s="219" t="str">
        <f t="shared" si="33"/>
        <v>Sobresecado</v>
      </c>
      <c r="X126" s="219" t="str">
        <f t="shared" si="33"/>
        <v>Arrugado</v>
      </c>
      <c r="Y126" s="219" t="str">
        <f t="shared" si="33"/>
        <v>Quebrado</v>
      </c>
      <c r="Z126" s="218" t="str">
        <f t="shared" si="33"/>
        <v>Cereza Seca</v>
      </c>
      <c r="AA126" s="219" t="str">
        <f t="shared" si="33"/>
        <v>Pergamino</v>
      </c>
      <c r="AB126" s="219" t="str">
        <f t="shared" si="33"/>
        <v>Cascara o pulpa seca</v>
      </c>
      <c r="AC126" s="218" t="str">
        <f t="shared" si="33"/>
        <v>Materia extraña</v>
      </c>
      <c r="AD126" s="220" t="str">
        <f t="shared" si="33"/>
        <v>Densidad de             los granos, g/cc</v>
      </c>
      <c r="AE126" s="88"/>
      <c r="AF126" s="88"/>
      <c r="AG126" s="88"/>
      <c r="AH126" s="88"/>
      <c r="AI126" s="88"/>
      <c r="AJ126" s="88"/>
      <c r="AK126" s="88"/>
      <c r="AL126" s="88"/>
      <c r="AM126" s="88"/>
      <c r="AN126" s="196"/>
      <c r="AO126" s="205"/>
      <c r="AZ126" s="69"/>
      <c r="BA126" s="69"/>
      <c r="BB126" s="267"/>
      <c r="BC126" s="267"/>
      <c r="BD126" s="268"/>
      <c r="BE126" s="267"/>
      <c r="BF126" s="267"/>
      <c r="BG126" s="267"/>
      <c r="BH126" s="267"/>
      <c r="BI126" s="267"/>
      <c r="BJ126" s="267"/>
      <c r="BK126" s="267"/>
      <c r="BL126" s="267"/>
      <c r="BM126" s="267"/>
      <c r="BN126" s="267"/>
      <c r="BO126" s="267"/>
      <c r="BP126" s="267"/>
      <c r="BQ126" s="267"/>
      <c r="BR126" s="267"/>
      <c r="BS126" s="267"/>
      <c r="BT126" s="267"/>
      <c r="BU126" s="267"/>
      <c r="BV126" s="267"/>
      <c r="BW126" s="267"/>
      <c r="BX126" s="267"/>
      <c r="BY126" s="267"/>
      <c r="BZ126" s="267"/>
      <c r="CA126" s="267"/>
      <c r="CB126" s="267"/>
      <c r="CC126" s="267"/>
      <c r="CD126" s="269"/>
      <c r="CE126" s="69"/>
      <c r="CF126" s="69"/>
      <c r="CG126" s="69"/>
      <c r="CH126" s="69"/>
    </row>
    <row r="127" spans="1:86" x14ac:dyDescent="0.2">
      <c r="A127" s="180"/>
      <c r="B127" s="119"/>
      <c r="C127" s="119"/>
      <c r="D127" s="119"/>
      <c r="E127" s="88"/>
      <c r="F127" s="88"/>
      <c r="G127" s="88"/>
      <c r="H127" s="119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115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196"/>
      <c r="AO127" s="205"/>
      <c r="AZ127" s="69"/>
      <c r="BA127" s="69"/>
      <c r="BB127" s="266"/>
      <c r="BC127" s="266"/>
      <c r="BD127" s="266"/>
      <c r="BE127" s="69"/>
      <c r="BF127" s="69"/>
      <c r="BG127" s="69"/>
      <c r="BH127" s="266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254"/>
      <c r="CC127" s="69"/>
      <c r="CD127" s="69"/>
      <c r="CE127" s="69"/>
      <c r="CF127" s="69"/>
      <c r="CG127" s="69"/>
      <c r="CH127" s="69"/>
    </row>
    <row r="128" spans="1:86" x14ac:dyDescent="0.2">
      <c r="A128" s="180"/>
      <c r="B128" s="119">
        <v>19</v>
      </c>
      <c r="C128" s="214"/>
      <c r="D128" s="127"/>
      <c r="E128" s="136"/>
      <c r="F128" s="127"/>
      <c r="G128" s="127"/>
      <c r="H128" s="221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3"/>
      <c r="Y128" s="214"/>
      <c r="Z128" s="214"/>
      <c r="AA128" s="214"/>
      <c r="AB128" s="214"/>
      <c r="AC128" s="214"/>
      <c r="AD128" s="136" t="s">
        <v>98</v>
      </c>
      <c r="AE128" s="88"/>
      <c r="AF128" s="88"/>
      <c r="AG128" s="88"/>
      <c r="AH128" s="88"/>
      <c r="AI128" s="88"/>
      <c r="AJ128" s="88"/>
      <c r="AK128" s="88"/>
      <c r="AL128" s="88"/>
      <c r="AM128" s="88"/>
      <c r="AN128" s="196"/>
      <c r="AO128" s="205"/>
      <c r="AZ128" s="69"/>
      <c r="BA128" s="69"/>
      <c r="BB128" s="266"/>
      <c r="BC128" s="89"/>
      <c r="BD128" s="257"/>
      <c r="BE128" s="255"/>
      <c r="BF128" s="257"/>
      <c r="BG128" s="257"/>
      <c r="BH128" s="89"/>
      <c r="BI128" s="89"/>
      <c r="BJ128" s="89"/>
      <c r="BK128" s="89"/>
      <c r="BL128" s="89"/>
      <c r="BM128" s="89"/>
      <c r="BN128" s="89"/>
      <c r="BO128" s="89"/>
      <c r="BP128" s="89"/>
      <c r="BQ128" s="89"/>
      <c r="BR128" s="89"/>
      <c r="BS128" s="89"/>
      <c r="BT128" s="89"/>
      <c r="BU128" s="89"/>
      <c r="BV128" s="89"/>
      <c r="BW128" s="89"/>
      <c r="BX128" s="89"/>
      <c r="BY128" s="89"/>
      <c r="BZ128" s="89"/>
      <c r="CA128" s="89"/>
      <c r="CB128" s="89"/>
      <c r="CC128" s="89"/>
      <c r="CD128" s="255"/>
      <c r="CE128" s="69"/>
      <c r="CF128" s="69"/>
      <c r="CG128" s="69"/>
      <c r="CH128" s="69"/>
    </row>
    <row r="129" spans="1:86" x14ac:dyDescent="0.2">
      <c r="A129" s="180"/>
      <c r="B129" s="119">
        <v>18</v>
      </c>
      <c r="C129" s="214"/>
      <c r="D129" s="127"/>
      <c r="E129" s="136"/>
      <c r="F129" s="127"/>
      <c r="G129" s="127"/>
      <c r="H129" s="224"/>
      <c r="I129" s="225"/>
      <c r="J129" s="225"/>
      <c r="K129" s="225"/>
      <c r="L129" s="225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6"/>
      <c r="Y129" s="214"/>
      <c r="Z129" s="214"/>
      <c r="AA129" s="214"/>
      <c r="AB129" s="214"/>
      <c r="AC129" s="214"/>
      <c r="AD129" s="136" t="s">
        <v>98</v>
      </c>
      <c r="AE129" s="88"/>
      <c r="AF129" s="88"/>
      <c r="AG129" s="88"/>
      <c r="AH129" s="88"/>
      <c r="AI129" s="88"/>
      <c r="AJ129" s="88"/>
      <c r="AK129" s="88"/>
      <c r="AL129" s="88"/>
      <c r="AM129" s="88"/>
      <c r="AN129" s="196"/>
      <c r="AO129" s="205"/>
      <c r="AZ129" s="69"/>
      <c r="BA129" s="69"/>
      <c r="BB129" s="266"/>
      <c r="BC129" s="89"/>
      <c r="BD129" s="257"/>
      <c r="BE129" s="255"/>
      <c r="BF129" s="257"/>
      <c r="BG129" s="257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/>
      <c r="CB129" s="89"/>
      <c r="CC129" s="89"/>
      <c r="CD129" s="255"/>
      <c r="CE129" s="69"/>
      <c r="CF129" s="69"/>
      <c r="CG129" s="69"/>
      <c r="CH129" s="69"/>
    </row>
    <row r="130" spans="1:86" x14ac:dyDescent="0.2">
      <c r="A130" s="180"/>
      <c r="B130" s="119">
        <v>17</v>
      </c>
      <c r="C130" s="214"/>
      <c r="D130" s="127"/>
      <c r="E130" s="136"/>
      <c r="F130" s="127"/>
      <c r="G130" s="127"/>
      <c r="H130" s="224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6"/>
      <c r="Y130" s="214"/>
      <c r="Z130" s="214"/>
      <c r="AA130" s="214"/>
      <c r="AB130" s="214"/>
      <c r="AC130" s="214"/>
      <c r="AD130" s="136" t="s">
        <v>98</v>
      </c>
      <c r="AE130" s="88"/>
      <c r="AF130" s="88"/>
      <c r="AG130" s="88"/>
      <c r="AH130" s="88"/>
      <c r="AI130" s="88"/>
      <c r="AJ130" s="88"/>
      <c r="AK130" s="88"/>
      <c r="AL130" s="88"/>
      <c r="AM130" s="88"/>
      <c r="AN130" s="196"/>
      <c r="AO130" s="205"/>
      <c r="AZ130" s="69"/>
      <c r="BA130" s="69"/>
      <c r="BB130" s="266"/>
      <c r="BC130" s="89"/>
      <c r="BD130" s="257"/>
      <c r="BE130" s="255"/>
      <c r="BF130" s="257"/>
      <c r="BG130" s="257"/>
      <c r="BH130" s="89"/>
      <c r="BI130" s="89"/>
      <c r="BJ130" s="89"/>
      <c r="BK130" s="89"/>
      <c r="BL130" s="89"/>
      <c r="BM130" s="89"/>
      <c r="BN130" s="89"/>
      <c r="BO130" s="89"/>
      <c r="BP130" s="89"/>
      <c r="BQ130" s="89"/>
      <c r="BR130" s="89"/>
      <c r="BS130" s="89"/>
      <c r="BT130" s="89"/>
      <c r="BU130" s="89"/>
      <c r="BV130" s="89"/>
      <c r="BW130" s="89"/>
      <c r="BX130" s="89"/>
      <c r="BY130" s="89"/>
      <c r="BZ130" s="89"/>
      <c r="CA130" s="89"/>
      <c r="CB130" s="89"/>
      <c r="CC130" s="89"/>
      <c r="CD130" s="255"/>
      <c r="CE130" s="69"/>
      <c r="CF130" s="69"/>
      <c r="CG130" s="69"/>
      <c r="CH130" s="69"/>
    </row>
    <row r="131" spans="1:86" x14ac:dyDescent="0.2">
      <c r="A131" s="180"/>
      <c r="B131" s="119">
        <v>16</v>
      </c>
      <c r="C131" s="214"/>
      <c r="D131" s="127"/>
      <c r="E131" s="136"/>
      <c r="F131" s="127"/>
      <c r="G131" s="127"/>
      <c r="H131" s="227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9"/>
      <c r="Y131" s="230"/>
      <c r="Z131" s="230"/>
      <c r="AA131" s="230"/>
      <c r="AB131" s="230"/>
      <c r="AC131" s="230"/>
      <c r="AD131" s="136"/>
      <c r="AE131" s="88"/>
      <c r="AF131" s="88"/>
      <c r="AG131" s="88"/>
      <c r="AH131" s="88"/>
      <c r="AI131" s="88"/>
      <c r="AJ131" s="88"/>
      <c r="AK131" s="88"/>
      <c r="AL131" s="88"/>
      <c r="AM131" s="88"/>
      <c r="AN131" s="196"/>
      <c r="AO131" s="205"/>
      <c r="AZ131" s="69"/>
      <c r="BA131" s="69"/>
      <c r="BB131" s="266"/>
      <c r="BC131" s="89"/>
      <c r="BD131" s="257"/>
      <c r="BE131" s="255"/>
      <c r="BF131" s="257"/>
      <c r="BG131" s="257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  <c r="BS131" s="89"/>
      <c r="BT131" s="89"/>
      <c r="BU131" s="89"/>
      <c r="BV131" s="89"/>
      <c r="BW131" s="89"/>
      <c r="BX131" s="89"/>
      <c r="BY131" s="89"/>
      <c r="BZ131" s="89"/>
      <c r="CA131" s="89"/>
      <c r="CB131" s="89"/>
      <c r="CC131" s="89"/>
      <c r="CD131" s="255"/>
      <c r="CE131" s="69"/>
      <c r="CF131" s="69"/>
      <c r="CG131" s="69"/>
      <c r="CH131" s="69"/>
    </row>
    <row r="132" spans="1:86" x14ac:dyDescent="0.2">
      <c r="A132" s="180"/>
      <c r="B132" s="119">
        <v>15</v>
      </c>
      <c r="C132" s="214"/>
      <c r="D132" s="127"/>
      <c r="E132" s="136"/>
      <c r="F132" s="127"/>
      <c r="G132" s="127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136"/>
      <c r="AE132" s="88"/>
      <c r="AF132" s="88"/>
      <c r="AG132" s="88"/>
      <c r="AH132" s="88"/>
      <c r="AI132" s="88"/>
      <c r="AJ132" s="88"/>
      <c r="AK132" s="88"/>
      <c r="AL132" s="88"/>
      <c r="AM132" s="88"/>
      <c r="AN132" s="196"/>
      <c r="AO132" s="205"/>
      <c r="AZ132" s="69"/>
      <c r="BA132" s="69"/>
      <c r="BB132" s="266"/>
      <c r="BC132" s="89"/>
      <c r="BD132" s="257"/>
      <c r="BE132" s="255"/>
      <c r="BF132" s="257"/>
      <c r="BG132" s="257"/>
      <c r="BH132" s="89"/>
      <c r="BI132" s="89"/>
      <c r="BJ132" s="89"/>
      <c r="BK132" s="89"/>
      <c r="BL132" s="89"/>
      <c r="BM132" s="89"/>
      <c r="BN132" s="89"/>
      <c r="BO132" s="89"/>
      <c r="BP132" s="89"/>
      <c r="BQ132" s="89"/>
      <c r="BR132" s="89"/>
      <c r="BS132" s="89"/>
      <c r="BT132" s="89"/>
      <c r="BU132" s="89"/>
      <c r="BV132" s="89"/>
      <c r="BW132" s="89"/>
      <c r="BX132" s="89"/>
      <c r="BY132" s="89"/>
      <c r="BZ132" s="89"/>
      <c r="CA132" s="89"/>
      <c r="CB132" s="89"/>
      <c r="CC132" s="89"/>
      <c r="CD132" s="255"/>
      <c r="CE132" s="69"/>
      <c r="CF132" s="69"/>
      <c r="CG132" s="69"/>
      <c r="CH132" s="69"/>
    </row>
    <row r="133" spans="1:86" x14ac:dyDescent="0.2">
      <c r="A133" s="180"/>
      <c r="B133" s="119" t="s">
        <v>63</v>
      </c>
      <c r="C133" s="214"/>
      <c r="D133" s="127"/>
      <c r="E133" s="136"/>
      <c r="F133" s="127"/>
      <c r="G133" s="127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30"/>
      <c r="AD133" s="136"/>
      <c r="AE133" s="88"/>
      <c r="AF133" s="88"/>
      <c r="AG133" s="88"/>
      <c r="AH133" s="88"/>
      <c r="AI133" s="88"/>
      <c r="AJ133" s="88"/>
      <c r="AK133" s="88"/>
      <c r="AL133" s="88"/>
      <c r="AM133" s="88"/>
      <c r="AN133" s="196"/>
      <c r="AO133" s="205"/>
      <c r="AZ133" s="69"/>
      <c r="BA133" s="69"/>
      <c r="BB133" s="266"/>
      <c r="BC133" s="89"/>
      <c r="BD133" s="257"/>
      <c r="BE133" s="255"/>
      <c r="BF133" s="257"/>
      <c r="BG133" s="257"/>
      <c r="BH133" s="89"/>
      <c r="BI133" s="89"/>
      <c r="BJ133" s="89"/>
      <c r="BK133" s="89"/>
      <c r="BL133" s="89"/>
      <c r="BM133" s="89"/>
      <c r="BN133" s="89"/>
      <c r="BO133" s="89"/>
      <c r="BP133" s="89"/>
      <c r="BQ133" s="89"/>
      <c r="BR133" s="89"/>
      <c r="BS133" s="89"/>
      <c r="BT133" s="89"/>
      <c r="BU133" s="89"/>
      <c r="BV133" s="89"/>
      <c r="BW133" s="89"/>
      <c r="BX133" s="89"/>
      <c r="BY133" s="89"/>
      <c r="BZ133" s="89"/>
      <c r="CA133" s="89"/>
      <c r="CB133" s="89"/>
      <c r="CC133" s="89"/>
      <c r="CD133" s="255"/>
      <c r="CE133" s="69"/>
      <c r="CF133" s="69"/>
      <c r="CG133" s="69"/>
      <c r="CH133" s="69"/>
    </row>
    <row r="134" spans="1:86" x14ac:dyDescent="0.2">
      <c r="A134" s="180"/>
      <c r="B134" s="138" t="str">
        <f>IF($D$57="S",B168,IF($D$57="E",B202,"Tilt"))</f>
        <v>Totales:</v>
      </c>
      <c r="C134" s="119"/>
      <c r="D134" s="127"/>
      <c r="E134" s="127"/>
      <c r="F134" s="127"/>
      <c r="G134" s="138" t="str">
        <f>IF($D$57="S",G168,IF($D$57="E",G202,"Tilt"))</f>
        <v>Granos:</v>
      </c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231" t="str">
        <f>IF($D$57="S",AD168,IF($D$57="E",AD202,"Tilt"))</f>
        <v>en</v>
      </c>
      <c r="AE134" s="88"/>
      <c r="AF134" s="88"/>
      <c r="AG134" s="88"/>
      <c r="AH134" s="88"/>
      <c r="AI134" s="88"/>
      <c r="AJ134" s="88"/>
      <c r="AK134" s="88"/>
      <c r="AL134" s="88"/>
      <c r="AM134" s="88"/>
      <c r="AN134" s="196"/>
      <c r="AO134" s="205"/>
      <c r="AZ134" s="69"/>
      <c r="BA134" s="69"/>
      <c r="BB134" s="213"/>
      <c r="BC134" s="266"/>
      <c r="BD134" s="257"/>
      <c r="BE134" s="257"/>
      <c r="BF134" s="257"/>
      <c r="BG134" s="213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270"/>
      <c r="CE134" s="69"/>
      <c r="CF134" s="69"/>
      <c r="CG134" s="69"/>
      <c r="CH134" s="69"/>
    </row>
    <row r="135" spans="1:86" x14ac:dyDescent="0.2">
      <c r="A135" s="187"/>
      <c r="B135" s="232"/>
      <c r="C135" s="233" t="str">
        <f>IF($D$57="S",C169,IF($D$57="E",C203,"Tilt"))</f>
        <v>Promedio ponderado</v>
      </c>
      <c r="D135" s="234"/>
      <c r="E135" s="234"/>
      <c r="F135" s="234"/>
      <c r="G135" s="235" t="str">
        <f>IF($D$57="S",G169,IF($D$57="E",G203,"Tilt"))</f>
        <v>Granos:</v>
      </c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  <c r="AA135" s="236"/>
      <c r="AB135" s="236"/>
      <c r="AC135" s="236"/>
      <c r="AD135" s="234" t="str">
        <f>IF($D$57="S",AD169,IF($D$57="E",AD203,"Tilt"))</f>
        <v>en</v>
      </c>
      <c r="AE135" s="234"/>
      <c r="AF135" s="234"/>
      <c r="AG135" s="234"/>
      <c r="AH135" s="234"/>
      <c r="AI135" s="234"/>
      <c r="AJ135" s="234"/>
      <c r="AK135" s="234"/>
      <c r="AL135" s="234"/>
      <c r="AM135" s="234"/>
      <c r="AN135" s="237"/>
      <c r="AO135" s="238"/>
      <c r="AZ135" s="69"/>
      <c r="BA135" s="69"/>
      <c r="BB135" s="257"/>
      <c r="BC135" s="254"/>
      <c r="BD135" s="69"/>
      <c r="BE135" s="69"/>
      <c r="BF135" s="69"/>
      <c r="BG135" s="213"/>
      <c r="BH135" s="253"/>
      <c r="BI135" s="253"/>
      <c r="BJ135" s="253"/>
      <c r="BK135" s="253"/>
      <c r="BL135" s="253"/>
      <c r="BM135" s="253"/>
      <c r="BN135" s="253"/>
      <c r="BO135" s="253"/>
      <c r="BP135" s="253"/>
      <c r="BQ135" s="253"/>
      <c r="BR135" s="253"/>
      <c r="BS135" s="253"/>
      <c r="BT135" s="253"/>
      <c r="BU135" s="253"/>
      <c r="BV135" s="253"/>
      <c r="BW135" s="253"/>
      <c r="BX135" s="253"/>
      <c r="BY135" s="253"/>
      <c r="BZ135" s="253"/>
      <c r="CA135" s="253"/>
      <c r="CB135" s="253"/>
      <c r="CC135" s="253"/>
      <c r="CD135" s="69"/>
      <c r="CE135" s="69"/>
      <c r="CF135" s="69"/>
      <c r="CG135" s="69"/>
      <c r="CH135" s="69"/>
    </row>
    <row r="136" spans="1:86" x14ac:dyDescent="0.2"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</row>
    <row r="137" spans="1:86" x14ac:dyDescent="0.2">
      <c r="AM137" s="239" t="s">
        <v>198</v>
      </c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</row>
    <row r="138" spans="1:86" x14ac:dyDescent="0.2">
      <c r="A138" s="177"/>
      <c r="B138" s="240" t="s">
        <v>102</v>
      </c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241"/>
      <c r="AE138" s="241"/>
      <c r="AF138" s="241"/>
      <c r="AG138" s="241"/>
      <c r="AH138" s="241"/>
      <c r="AI138" s="241"/>
      <c r="AJ138" s="241"/>
      <c r="AK138" s="241"/>
      <c r="AL138" s="241"/>
      <c r="AM138" s="241"/>
      <c r="AN138" s="242"/>
      <c r="AO138" s="243"/>
      <c r="AZ138" s="69"/>
      <c r="BA138" s="69"/>
      <c r="BB138" s="271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</row>
    <row r="139" spans="1:86" ht="15.75" thickBot="1" x14ac:dyDescent="0.25">
      <c r="A139" s="180"/>
      <c r="B139" s="88"/>
      <c r="C139" s="88"/>
      <c r="D139" s="69"/>
      <c r="E139" s="70" t="s">
        <v>222</v>
      </c>
      <c r="F139" s="71"/>
      <c r="H139" s="69"/>
      <c r="I139" s="72"/>
      <c r="K139" s="70" t="s">
        <v>0</v>
      </c>
      <c r="L139" s="73"/>
      <c r="M139" s="74"/>
      <c r="N139" s="75"/>
      <c r="P139" s="76"/>
      <c r="Q139" s="70" t="s">
        <v>260</v>
      </c>
      <c r="R139" s="77"/>
      <c r="S139" s="78"/>
      <c r="T139" s="79"/>
      <c r="U139" s="80"/>
      <c r="V139" s="88"/>
      <c r="W139" s="88"/>
      <c r="X139" s="88"/>
      <c r="Y139" s="116" t="s">
        <v>300</v>
      </c>
      <c r="Z139" s="81"/>
      <c r="AA139" s="88"/>
      <c r="AB139" s="88"/>
      <c r="AC139" s="116" t="s">
        <v>211</v>
      </c>
      <c r="AD139" s="81"/>
      <c r="AE139" s="88"/>
      <c r="AF139" s="88"/>
      <c r="AG139" s="88"/>
      <c r="AH139" s="88"/>
      <c r="AI139" s="182" t="s">
        <v>188</v>
      </c>
      <c r="AJ139" s="192" t="s">
        <v>185</v>
      </c>
      <c r="AK139" s="193"/>
      <c r="AL139" s="193"/>
      <c r="AM139" s="193"/>
      <c r="AN139" s="194"/>
      <c r="AO139" s="195"/>
      <c r="AZ139" s="69"/>
      <c r="BA139" s="69"/>
      <c r="BB139" s="69"/>
      <c r="BC139" s="69"/>
      <c r="BD139" s="69"/>
      <c r="BE139" s="70"/>
      <c r="BF139" s="76"/>
      <c r="BG139" s="69"/>
      <c r="BH139" s="69"/>
      <c r="BI139" s="72"/>
      <c r="BJ139" s="69"/>
      <c r="BK139" s="70"/>
      <c r="BL139" s="262"/>
      <c r="BM139" s="69"/>
      <c r="BN139" s="69"/>
      <c r="BO139" s="69"/>
      <c r="BP139" s="76"/>
      <c r="BQ139" s="70"/>
      <c r="BR139" s="262"/>
      <c r="BS139" s="69"/>
      <c r="BT139" s="262"/>
      <c r="BU139" s="69"/>
      <c r="BV139" s="69"/>
      <c r="BW139" s="69"/>
      <c r="BX139" s="69"/>
      <c r="BY139" s="70"/>
      <c r="BZ139" s="263"/>
      <c r="CA139" s="69"/>
      <c r="CB139" s="69"/>
      <c r="CC139" s="70"/>
      <c r="CD139" s="263"/>
      <c r="CE139" s="69"/>
      <c r="CF139" s="69"/>
      <c r="CG139" s="69"/>
      <c r="CH139" s="69"/>
    </row>
    <row r="140" spans="1:86" x14ac:dyDescent="0.2">
      <c r="A140" s="180"/>
      <c r="B140" s="88"/>
      <c r="C140" s="88"/>
      <c r="D140" s="69"/>
      <c r="E140" s="70" t="s">
        <v>2</v>
      </c>
      <c r="F140" s="276"/>
      <c r="G140" s="277"/>
      <c r="H140" s="69"/>
      <c r="I140" s="69"/>
      <c r="K140" s="70" t="s">
        <v>4</v>
      </c>
      <c r="L140" s="73"/>
      <c r="M140" s="74"/>
      <c r="N140" s="75"/>
      <c r="P140" s="77"/>
      <c r="Q140" s="79"/>
      <c r="R140" s="78"/>
      <c r="S140" s="78"/>
      <c r="T140" s="79"/>
      <c r="U140" s="80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196"/>
      <c r="AO140" s="195"/>
      <c r="AZ140" s="69"/>
      <c r="BA140" s="69"/>
      <c r="BB140" s="69"/>
      <c r="BC140" s="69"/>
      <c r="BD140" s="69"/>
      <c r="BE140" s="70"/>
      <c r="BF140" s="283"/>
      <c r="BG140" s="284"/>
      <c r="BH140" s="69"/>
      <c r="BI140" s="69"/>
      <c r="BJ140" s="69"/>
      <c r="BK140" s="70"/>
      <c r="BL140" s="262"/>
      <c r="BM140" s="69"/>
      <c r="BN140" s="69"/>
      <c r="BO140" s="69"/>
      <c r="BP140" s="262"/>
      <c r="BQ140" s="262"/>
      <c r="BR140" s="69"/>
      <c r="BS140" s="69"/>
      <c r="BT140" s="262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</row>
    <row r="141" spans="1:86" ht="13.5" thickBot="1" x14ac:dyDescent="0.25">
      <c r="A141" s="180"/>
      <c r="B141" s="88"/>
      <c r="C141" s="88"/>
      <c r="D141" s="69"/>
      <c r="E141" s="70" t="s">
        <v>269</v>
      </c>
      <c r="F141" s="276"/>
      <c r="G141" s="277"/>
      <c r="K141" s="70" t="s">
        <v>245</v>
      </c>
      <c r="L141" s="41"/>
      <c r="P141" s="77"/>
      <c r="Q141" s="79"/>
      <c r="R141" s="78"/>
      <c r="S141" s="78"/>
      <c r="T141" s="79"/>
      <c r="U141" s="80"/>
      <c r="V141" s="88"/>
      <c r="W141" s="88"/>
      <c r="X141" s="88"/>
      <c r="Y141" s="88"/>
      <c r="Z141" s="69"/>
      <c r="AA141" s="69"/>
      <c r="AB141" s="69"/>
      <c r="AC141" s="70" t="s">
        <v>200</v>
      </c>
      <c r="AD141" s="83"/>
      <c r="AE141" s="88"/>
      <c r="AF141" s="88"/>
      <c r="AG141" s="88"/>
      <c r="AH141" s="88"/>
      <c r="AI141" s="88"/>
      <c r="AJ141" s="88"/>
      <c r="AK141" s="88"/>
      <c r="AL141" s="88"/>
      <c r="AM141" s="88"/>
      <c r="AN141" s="196"/>
      <c r="AO141" s="195"/>
      <c r="AZ141" s="69"/>
      <c r="BA141" s="69"/>
      <c r="BB141" s="69"/>
      <c r="BC141" s="69"/>
      <c r="BD141" s="69"/>
      <c r="BE141" s="70"/>
      <c r="BF141" s="283"/>
      <c r="BG141" s="284"/>
      <c r="BH141" s="69"/>
      <c r="BI141" s="69"/>
      <c r="BJ141" s="69"/>
      <c r="BK141" s="70"/>
      <c r="BL141" s="89"/>
      <c r="BM141" s="69"/>
      <c r="BN141" s="69"/>
      <c r="BO141" s="69"/>
      <c r="BP141" s="262"/>
      <c r="BQ141" s="262"/>
      <c r="BR141" s="69"/>
      <c r="BS141" s="69"/>
      <c r="BT141" s="262"/>
      <c r="BU141" s="69"/>
      <c r="BV141" s="69"/>
      <c r="BW141" s="69"/>
      <c r="BX141" s="69"/>
      <c r="BY141" s="69"/>
      <c r="BZ141" s="69"/>
      <c r="CA141" s="69"/>
      <c r="CB141" s="69"/>
      <c r="CC141" s="70"/>
      <c r="CD141" s="263"/>
      <c r="CE141" s="69"/>
      <c r="CF141" s="69"/>
      <c r="CG141" s="69"/>
      <c r="CH141" s="69"/>
    </row>
    <row r="142" spans="1:86" x14ac:dyDescent="0.2">
      <c r="A142" s="180"/>
      <c r="B142" s="88"/>
      <c r="C142" s="88"/>
      <c r="D142" s="69"/>
      <c r="E142" s="70" t="s">
        <v>268</v>
      </c>
      <c r="F142" s="276"/>
      <c r="G142" s="277"/>
      <c r="K142" s="70" t="s">
        <v>1</v>
      </c>
      <c r="L142" s="84"/>
      <c r="Q142" s="76"/>
      <c r="R142" s="76"/>
      <c r="S142" s="70"/>
      <c r="V142" s="88"/>
      <c r="W142" s="88"/>
      <c r="X142" s="88"/>
      <c r="Y142" s="88"/>
      <c r="Z142" s="88"/>
      <c r="AA142" s="88"/>
      <c r="AB142" s="88"/>
      <c r="AC142" s="69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196"/>
      <c r="AO142" s="195"/>
      <c r="AZ142" s="69"/>
      <c r="BA142" s="69"/>
      <c r="BB142" s="69"/>
      <c r="BC142" s="69"/>
      <c r="BD142" s="69"/>
      <c r="BE142" s="70"/>
      <c r="BF142" s="283"/>
      <c r="BG142" s="284"/>
      <c r="BH142" s="69"/>
      <c r="BI142" s="69"/>
      <c r="BJ142" s="69"/>
      <c r="BK142" s="70"/>
      <c r="BL142" s="257"/>
      <c r="BM142" s="69"/>
      <c r="BN142" s="69"/>
      <c r="BO142" s="69"/>
      <c r="BP142" s="69"/>
      <c r="BQ142" s="76"/>
      <c r="BR142" s="76"/>
      <c r="BS142" s="70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</row>
    <row r="143" spans="1:86" ht="13.5" thickBot="1" x14ac:dyDescent="0.25">
      <c r="A143" s="180"/>
      <c r="B143" s="88"/>
      <c r="C143" s="88"/>
      <c r="D143" s="69"/>
      <c r="E143" s="70" t="s">
        <v>267</v>
      </c>
      <c r="F143" s="41"/>
      <c r="K143" s="70" t="s">
        <v>220</v>
      </c>
      <c r="L143" s="41"/>
      <c r="M143" s="68" t="s">
        <v>10</v>
      </c>
      <c r="P143" s="76"/>
      <c r="Q143" s="76"/>
      <c r="R143" s="76"/>
      <c r="S143" s="70"/>
      <c r="V143" s="88"/>
      <c r="W143" s="88"/>
      <c r="X143" s="88"/>
      <c r="Y143" s="88"/>
      <c r="Z143" s="88"/>
      <c r="AA143" s="88"/>
      <c r="AB143" s="88"/>
      <c r="AC143" s="70" t="s">
        <v>218</v>
      </c>
      <c r="AD143" s="83" t="s">
        <v>98</v>
      </c>
      <c r="AE143" s="88"/>
      <c r="AF143" s="88"/>
      <c r="AG143" s="88"/>
      <c r="AH143" s="88"/>
      <c r="AI143" s="88"/>
      <c r="AJ143" s="88" t="s">
        <v>189</v>
      </c>
      <c r="AK143" s="88"/>
      <c r="AL143" s="88" t="s">
        <v>85</v>
      </c>
      <c r="AM143" s="88"/>
      <c r="AN143" s="196"/>
      <c r="AO143" s="195"/>
      <c r="AZ143" s="69"/>
      <c r="BA143" s="69"/>
      <c r="BB143" s="69"/>
      <c r="BC143" s="69"/>
      <c r="BD143" s="69"/>
      <c r="BE143" s="70"/>
      <c r="BF143" s="89"/>
      <c r="BG143" s="69"/>
      <c r="BH143" s="69"/>
      <c r="BI143" s="69"/>
      <c r="BJ143" s="69"/>
      <c r="BK143" s="70"/>
      <c r="BL143" s="89"/>
      <c r="BM143" s="69"/>
      <c r="BN143" s="69"/>
      <c r="BO143" s="69"/>
      <c r="BP143" s="76"/>
      <c r="BQ143" s="76"/>
      <c r="BR143" s="76"/>
      <c r="BS143" s="70"/>
      <c r="BT143" s="69"/>
      <c r="BU143" s="69"/>
      <c r="BV143" s="69"/>
      <c r="BW143" s="69"/>
      <c r="BX143" s="69"/>
      <c r="BY143" s="69"/>
      <c r="BZ143" s="69"/>
      <c r="CA143" s="69"/>
      <c r="CB143" s="69"/>
      <c r="CC143" s="70"/>
      <c r="CD143" s="263"/>
      <c r="CE143" s="69"/>
      <c r="CF143" s="69"/>
      <c r="CG143" s="69"/>
      <c r="CH143" s="69"/>
    </row>
    <row r="144" spans="1:86" x14ac:dyDescent="0.2">
      <c r="A144" s="180"/>
      <c r="B144" s="88"/>
      <c r="C144" s="88"/>
      <c r="D144" s="69"/>
      <c r="E144" s="70" t="s">
        <v>266</v>
      </c>
      <c r="F144" s="41"/>
      <c r="K144" s="70" t="s">
        <v>257</v>
      </c>
      <c r="L144" s="85"/>
      <c r="M144" s="86"/>
      <c r="N144" s="68" t="s">
        <v>251</v>
      </c>
      <c r="P144" s="244"/>
      <c r="Q144" s="100"/>
      <c r="R144" s="100" t="s">
        <v>5</v>
      </c>
      <c r="S144" s="100"/>
      <c r="T144" s="76"/>
      <c r="V144" s="88"/>
      <c r="W144" s="88"/>
      <c r="X144" s="88"/>
      <c r="Y144" s="88"/>
      <c r="Z144" s="88"/>
      <c r="AA144" s="88"/>
      <c r="AB144" s="88"/>
      <c r="AC144" s="69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196"/>
      <c r="AO144" s="195"/>
      <c r="AZ144" s="69"/>
      <c r="BA144" s="69"/>
      <c r="BB144" s="69"/>
      <c r="BC144" s="69"/>
      <c r="BD144" s="69"/>
      <c r="BE144" s="70"/>
      <c r="BF144" s="89"/>
      <c r="BG144" s="69"/>
      <c r="BH144" s="69"/>
      <c r="BI144" s="69"/>
      <c r="BJ144" s="69"/>
      <c r="BK144" s="70"/>
      <c r="BL144" s="89"/>
      <c r="BM144" s="89"/>
      <c r="BN144" s="69"/>
      <c r="BO144" s="69"/>
      <c r="BP144" s="69"/>
      <c r="BQ144" s="113"/>
      <c r="BR144" s="113"/>
      <c r="BS144" s="113"/>
      <c r="BT144" s="76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</row>
    <row r="145" spans="1:86" x14ac:dyDescent="0.2">
      <c r="A145" s="180"/>
      <c r="B145" s="88"/>
      <c r="C145" s="88"/>
      <c r="D145" s="88"/>
      <c r="E145" s="70" t="s">
        <v>221</v>
      </c>
      <c r="F145" s="41"/>
      <c r="K145" s="70" t="s">
        <v>3</v>
      </c>
      <c r="L145" s="41"/>
      <c r="O145" s="76"/>
      <c r="P145" s="76"/>
      <c r="S145" s="70" t="s">
        <v>6</v>
      </c>
      <c r="T145" s="276"/>
      <c r="U145" s="277"/>
      <c r="V145" s="88"/>
      <c r="W145" s="198"/>
      <c r="X145" s="199"/>
      <c r="Y145" s="199"/>
      <c r="Z145" s="200"/>
      <c r="AA145" s="201" t="s">
        <v>216</v>
      </c>
      <c r="AB145" s="199"/>
      <c r="AC145" s="202"/>
      <c r="AD145" s="203"/>
      <c r="AE145" s="88"/>
      <c r="AF145" s="88"/>
      <c r="AG145" s="88"/>
      <c r="AH145" s="88"/>
      <c r="AI145" s="88"/>
      <c r="AJ145" s="88" t="s">
        <v>192</v>
      </c>
      <c r="AK145" s="88"/>
      <c r="AL145" s="88"/>
      <c r="AM145" s="88"/>
      <c r="AN145" s="196"/>
      <c r="AO145" s="195"/>
      <c r="AZ145" s="69"/>
      <c r="BA145" s="69"/>
      <c r="BB145" s="69"/>
      <c r="BC145" s="69"/>
      <c r="BD145" s="69"/>
      <c r="BE145" s="70"/>
      <c r="BF145" s="89"/>
      <c r="BG145" s="69"/>
      <c r="BH145" s="69"/>
      <c r="BI145" s="69"/>
      <c r="BJ145" s="69"/>
      <c r="BK145" s="70"/>
      <c r="BL145" s="89"/>
      <c r="BM145" s="69"/>
      <c r="BN145" s="69"/>
      <c r="BO145" s="76"/>
      <c r="BP145" s="76"/>
      <c r="BQ145" s="69"/>
      <c r="BR145" s="69"/>
      <c r="BS145" s="70"/>
      <c r="BT145" s="283"/>
      <c r="BU145" s="284"/>
      <c r="BV145" s="69"/>
      <c r="BW145" s="69"/>
      <c r="BX145" s="69"/>
      <c r="BY145" s="69"/>
      <c r="BZ145" s="254"/>
      <c r="CA145" s="113"/>
      <c r="CB145" s="69"/>
      <c r="CC145" s="260"/>
      <c r="CD145" s="69"/>
      <c r="CE145" s="69"/>
      <c r="CF145" s="69"/>
      <c r="CG145" s="69"/>
      <c r="CH145" s="69"/>
    </row>
    <row r="146" spans="1:86" x14ac:dyDescent="0.2">
      <c r="A146" s="180"/>
      <c r="B146" s="88"/>
      <c r="C146" s="88"/>
      <c r="D146" s="69"/>
      <c r="E146" s="70" t="s">
        <v>78</v>
      </c>
      <c r="F146" s="41"/>
      <c r="K146" s="70" t="s">
        <v>258</v>
      </c>
      <c r="L146" s="85"/>
      <c r="M146" s="86"/>
      <c r="N146" s="70"/>
      <c r="S146" s="70" t="s">
        <v>7</v>
      </c>
      <c r="T146" s="73"/>
      <c r="U146" s="75"/>
      <c r="V146" s="88"/>
      <c r="W146" s="96"/>
      <c r="X146" s="97"/>
      <c r="Y146" s="97"/>
      <c r="Z146" s="97"/>
      <c r="AA146" s="97"/>
      <c r="AB146" s="97"/>
      <c r="AC146" s="97"/>
      <c r="AD146" s="98"/>
      <c r="AE146" s="88"/>
      <c r="AF146" s="88"/>
      <c r="AG146" s="88"/>
      <c r="AH146" s="88"/>
      <c r="AI146" s="88"/>
      <c r="AJ146" s="88"/>
      <c r="AK146" s="88"/>
      <c r="AL146" s="88"/>
      <c r="AM146" s="88"/>
      <c r="AN146" s="196"/>
      <c r="AO146" s="195"/>
      <c r="AZ146" s="69"/>
      <c r="BA146" s="69"/>
      <c r="BB146" s="69"/>
      <c r="BC146" s="69"/>
      <c r="BD146" s="69"/>
      <c r="BE146" s="70"/>
      <c r="BF146" s="89"/>
      <c r="BG146" s="69"/>
      <c r="BH146" s="69"/>
      <c r="BI146" s="69"/>
      <c r="BJ146" s="69"/>
      <c r="BK146" s="70"/>
      <c r="BL146" s="89"/>
      <c r="BM146" s="89"/>
      <c r="BN146" s="70"/>
      <c r="BO146" s="69"/>
      <c r="BP146" s="69"/>
      <c r="BQ146" s="69"/>
      <c r="BR146" s="69"/>
      <c r="BS146" s="70"/>
      <c r="BT146" s="262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</row>
    <row r="147" spans="1:86" x14ac:dyDescent="0.2">
      <c r="A147" s="180"/>
      <c r="B147" s="88"/>
      <c r="C147" s="88"/>
      <c r="D147" s="69"/>
      <c r="E147" s="70" t="s">
        <v>264</v>
      </c>
      <c r="F147" s="41"/>
      <c r="K147" s="70" t="s">
        <v>227</v>
      </c>
      <c r="L147" s="41"/>
      <c r="M147" s="99" t="s">
        <v>292</v>
      </c>
      <c r="Q147" s="100"/>
      <c r="R147" s="100" t="s">
        <v>8</v>
      </c>
      <c r="S147" s="100"/>
      <c r="T147" s="76"/>
      <c r="U147" s="76"/>
      <c r="V147" s="88"/>
      <c r="W147" s="96"/>
      <c r="X147" s="97"/>
      <c r="Y147" s="97"/>
      <c r="Z147" s="97"/>
      <c r="AA147" s="97"/>
      <c r="AB147" s="97"/>
      <c r="AC147" s="101" t="s">
        <v>297</v>
      </c>
      <c r="AD147" s="102" t="s">
        <v>98</v>
      </c>
      <c r="AE147" s="88"/>
      <c r="AF147" s="88"/>
      <c r="AG147" s="88"/>
      <c r="AH147" s="88"/>
      <c r="AI147" s="88"/>
      <c r="AJ147" s="88" t="s">
        <v>195</v>
      </c>
      <c r="AK147" s="88"/>
      <c r="AL147" s="99" t="s">
        <v>196</v>
      </c>
      <c r="AM147" s="88"/>
      <c r="AN147" s="196"/>
      <c r="AO147" s="195"/>
      <c r="AZ147" s="69"/>
      <c r="BA147" s="69"/>
      <c r="BB147" s="69"/>
      <c r="BC147" s="69"/>
      <c r="BD147" s="69"/>
      <c r="BE147" s="70"/>
      <c r="BF147" s="89"/>
      <c r="BG147" s="69"/>
      <c r="BH147" s="69"/>
      <c r="BI147" s="69"/>
      <c r="BJ147" s="69"/>
      <c r="BK147" s="70"/>
      <c r="BL147" s="89"/>
      <c r="BM147" s="76"/>
      <c r="BN147" s="69"/>
      <c r="BO147" s="69"/>
      <c r="BP147" s="69"/>
      <c r="BQ147" s="113"/>
      <c r="BR147" s="113"/>
      <c r="BS147" s="113"/>
      <c r="BT147" s="76"/>
      <c r="BU147" s="76"/>
      <c r="BV147" s="69"/>
      <c r="BW147" s="69"/>
      <c r="BX147" s="69"/>
      <c r="BY147" s="69"/>
      <c r="BZ147" s="69"/>
      <c r="CA147" s="69"/>
      <c r="CB147" s="69"/>
      <c r="CC147" s="70"/>
      <c r="CD147" s="264"/>
      <c r="CE147" s="69"/>
      <c r="CF147" s="69"/>
      <c r="CG147" s="69"/>
      <c r="CH147" s="69"/>
    </row>
    <row r="148" spans="1:86" x14ac:dyDescent="0.2">
      <c r="A148" s="180"/>
      <c r="B148" s="88"/>
      <c r="C148" s="88"/>
      <c r="D148" s="69"/>
      <c r="E148" s="70" t="s">
        <v>265</v>
      </c>
      <c r="F148" s="41"/>
      <c r="K148" s="70" t="s">
        <v>79</v>
      </c>
      <c r="L148" s="41"/>
      <c r="N148" s="104" t="s">
        <v>262</v>
      </c>
      <c r="S148" s="70" t="s">
        <v>6</v>
      </c>
      <c r="T148" s="276"/>
      <c r="U148" s="277"/>
      <c r="V148" s="88"/>
      <c r="W148" s="96"/>
      <c r="X148" s="97"/>
      <c r="Y148" s="97"/>
      <c r="Z148" s="97"/>
      <c r="AA148" s="97"/>
      <c r="AB148" s="97"/>
      <c r="AC148" s="101" t="s">
        <v>298</v>
      </c>
      <c r="AD148" s="102" t="s">
        <v>98</v>
      </c>
      <c r="AE148" s="88"/>
      <c r="AF148" s="88"/>
      <c r="AG148" s="88"/>
      <c r="AH148" s="88"/>
      <c r="AI148" s="88"/>
      <c r="AJ148" s="88"/>
      <c r="AK148" s="88"/>
      <c r="AL148" s="88"/>
      <c r="AM148" s="88"/>
      <c r="AN148" s="196"/>
      <c r="AO148" s="195"/>
      <c r="AZ148" s="69"/>
      <c r="BA148" s="69"/>
      <c r="BB148" s="69"/>
      <c r="BC148" s="69"/>
      <c r="BD148" s="69"/>
      <c r="BE148" s="70"/>
      <c r="BF148" s="89"/>
      <c r="BG148" s="69"/>
      <c r="BH148" s="69"/>
      <c r="BI148" s="69"/>
      <c r="BJ148" s="69"/>
      <c r="BK148" s="70"/>
      <c r="BL148" s="89"/>
      <c r="BM148" s="69"/>
      <c r="BN148" s="265"/>
      <c r="BO148" s="69"/>
      <c r="BP148" s="69"/>
      <c r="BQ148" s="69"/>
      <c r="BR148" s="69"/>
      <c r="BS148" s="70"/>
      <c r="BT148" s="283"/>
      <c r="BU148" s="284"/>
      <c r="BV148" s="69"/>
      <c r="BW148" s="69"/>
      <c r="BX148" s="69"/>
      <c r="BY148" s="69"/>
      <c r="BZ148" s="69"/>
      <c r="CA148" s="69"/>
      <c r="CB148" s="69"/>
      <c r="CC148" s="70"/>
      <c r="CD148" s="264"/>
      <c r="CE148" s="69"/>
      <c r="CF148" s="69"/>
      <c r="CG148" s="69"/>
      <c r="CH148" s="69"/>
    </row>
    <row r="149" spans="1:86" x14ac:dyDescent="0.2">
      <c r="A149" s="180"/>
      <c r="B149" s="88"/>
      <c r="C149" s="88"/>
      <c r="D149" s="69"/>
      <c r="E149" s="70" t="s">
        <v>263</v>
      </c>
      <c r="F149" s="41"/>
      <c r="K149" s="70" t="s">
        <v>94</v>
      </c>
      <c r="L149" s="41"/>
      <c r="N149" s="105" t="s">
        <v>95</v>
      </c>
      <c r="O149" s="41"/>
      <c r="S149" s="70" t="s">
        <v>7</v>
      </c>
      <c r="T149" s="73"/>
      <c r="U149" s="75"/>
      <c r="V149" s="88"/>
      <c r="W149" s="106"/>
      <c r="X149" s="107"/>
      <c r="Y149" s="107"/>
      <c r="Z149" s="107"/>
      <c r="AA149" s="107"/>
      <c r="AB149" s="107"/>
      <c r="AC149" s="108" t="s">
        <v>299</v>
      </c>
      <c r="AD149" s="109" t="s">
        <v>98</v>
      </c>
      <c r="AE149" s="88"/>
      <c r="AF149" s="88"/>
      <c r="AG149" s="88"/>
      <c r="AH149" s="88"/>
      <c r="AI149" s="88"/>
      <c r="AJ149" s="88"/>
      <c r="AK149" s="88"/>
      <c r="AL149" s="88"/>
      <c r="AM149" s="88"/>
      <c r="AN149" s="196"/>
      <c r="AO149" s="195"/>
      <c r="AZ149" s="69"/>
      <c r="BA149" s="69"/>
      <c r="BB149" s="69"/>
      <c r="BC149" s="69"/>
      <c r="BD149" s="69"/>
      <c r="BE149" s="70"/>
      <c r="BF149" s="89"/>
      <c r="BG149" s="69"/>
      <c r="BH149" s="69"/>
      <c r="BI149" s="69"/>
      <c r="BJ149" s="69"/>
      <c r="BK149" s="70"/>
      <c r="BL149" s="89"/>
      <c r="BM149" s="69"/>
      <c r="BN149" s="70"/>
      <c r="BO149" s="89"/>
      <c r="BP149" s="69"/>
      <c r="BQ149" s="69"/>
      <c r="BR149" s="69"/>
      <c r="BS149" s="70"/>
      <c r="BT149" s="262"/>
      <c r="BU149" s="69"/>
      <c r="BV149" s="69"/>
      <c r="BW149" s="69"/>
      <c r="BX149" s="69"/>
      <c r="BY149" s="69"/>
      <c r="BZ149" s="69"/>
      <c r="CA149" s="69"/>
      <c r="CB149" s="69"/>
      <c r="CC149" s="70"/>
      <c r="CD149" s="264"/>
      <c r="CE149" s="69"/>
      <c r="CF149" s="69"/>
      <c r="CG149" s="69"/>
      <c r="CH149" s="69"/>
    </row>
    <row r="150" spans="1:86" x14ac:dyDescent="0.2">
      <c r="A150" s="180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196"/>
      <c r="AO150" s="195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</row>
    <row r="151" spans="1:86" ht="13.5" thickBot="1" x14ac:dyDescent="0.25">
      <c r="A151" s="180"/>
      <c r="B151" s="88"/>
      <c r="C151" s="70" t="s">
        <v>223</v>
      </c>
      <c r="D151" s="88"/>
      <c r="E151" s="88"/>
      <c r="F151" s="88"/>
      <c r="G151" s="88"/>
      <c r="H151" s="88"/>
      <c r="I151" s="116" t="s">
        <v>11</v>
      </c>
      <c r="J151" s="211"/>
      <c r="K151" s="88"/>
      <c r="L151" s="88"/>
      <c r="M151" s="88"/>
      <c r="N151" s="88"/>
      <c r="O151" s="116" t="s">
        <v>12</v>
      </c>
      <c r="P151" s="211"/>
      <c r="Q151" s="88"/>
      <c r="R151" s="88"/>
      <c r="S151" s="88"/>
      <c r="T151" s="88"/>
      <c r="U151" s="116" t="s">
        <v>13</v>
      </c>
      <c r="V151" s="211"/>
      <c r="W151" s="88"/>
      <c r="X151" s="88"/>
      <c r="Y151" s="88"/>
      <c r="Z151" s="88"/>
      <c r="AA151" s="88"/>
      <c r="AB151" s="88"/>
      <c r="AC151" s="116" t="s">
        <v>14</v>
      </c>
      <c r="AD151" s="81"/>
      <c r="AE151" s="88"/>
      <c r="AF151" s="88"/>
      <c r="AG151" s="88"/>
      <c r="AH151" s="88"/>
      <c r="AI151" s="88"/>
      <c r="AJ151" s="88"/>
      <c r="AK151" s="88"/>
      <c r="AL151" s="88"/>
      <c r="AM151" s="88"/>
      <c r="AN151" s="196"/>
      <c r="AO151" s="195"/>
      <c r="AZ151" s="69"/>
      <c r="BA151" s="69"/>
      <c r="BB151" s="69"/>
      <c r="BC151" s="70"/>
      <c r="BD151" s="69"/>
      <c r="BE151" s="69"/>
      <c r="BF151" s="69"/>
      <c r="BG151" s="69"/>
      <c r="BH151" s="69"/>
      <c r="BI151" s="70"/>
      <c r="BJ151" s="89"/>
      <c r="BK151" s="69"/>
      <c r="BL151" s="69"/>
      <c r="BM151" s="69"/>
      <c r="BN151" s="69"/>
      <c r="BO151" s="70"/>
      <c r="BP151" s="89"/>
      <c r="BQ151" s="69"/>
      <c r="BR151" s="69"/>
      <c r="BS151" s="69"/>
      <c r="BT151" s="69"/>
      <c r="BU151" s="70"/>
      <c r="BV151" s="89"/>
      <c r="BW151" s="69"/>
      <c r="BX151" s="69"/>
      <c r="BY151" s="69"/>
      <c r="BZ151" s="69"/>
      <c r="CA151" s="69"/>
      <c r="CB151" s="69"/>
      <c r="CC151" s="70"/>
      <c r="CD151" s="263"/>
      <c r="CE151" s="69"/>
      <c r="CF151" s="69"/>
      <c r="CG151" s="69"/>
      <c r="CH151" s="69"/>
    </row>
    <row r="152" spans="1:86" x14ac:dyDescent="0.2">
      <c r="A152" s="180"/>
      <c r="B152" s="88"/>
      <c r="C152" s="88"/>
      <c r="D152" s="116" t="s">
        <v>15</v>
      </c>
      <c r="E152" s="212"/>
      <c r="F152" s="88"/>
      <c r="G152" s="88"/>
      <c r="H152" s="88"/>
      <c r="I152" s="88"/>
      <c r="J152" s="138" t="s">
        <v>16</v>
      </c>
      <c r="K152" s="275"/>
      <c r="L152" s="275"/>
      <c r="M152" s="275"/>
      <c r="N152" s="88"/>
      <c r="O152" s="88"/>
      <c r="P152" s="138" t="s">
        <v>16</v>
      </c>
      <c r="Q152" s="275"/>
      <c r="R152" s="275"/>
      <c r="S152" s="275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196"/>
      <c r="AO152" s="195"/>
      <c r="AZ152" s="69"/>
      <c r="BA152" s="69"/>
      <c r="BB152" s="69"/>
      <c r="BC152" s="69"/>
      <c r="BD152" s="70"/>
      <c r="BE152" s="89"/>
      <c r="BF152" s="69"/>
      <c r="BG152" s="69"/>
      <c r="BH152" s="69"/>
      <c r="BI152" s="69"/>
      <c r="BJ152" s="213"/>
      <c r="BK152" s="285"/>
      <c r="BL152" s="285"/>
      <c r="BM152" s="285"/>
      <c r="BN152" s="69"/>
      <c r="BO152" s="69"/>
      <c r="BP152" s="213"/>
      <c r="BQ152" s="285"/>
      <c r="BR152" s="285"/>
      <c r="BS152" s="285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</row>
    <row r="153" spans="1:86" x14ac:dyDescent="0.2">
      <c r="A153" s="180"/>
      <c r="B153" s="211"/>
      <c r="C153" s="88"/>
      <c r="D153" s="113" t="s">
        <v>17</v>
      </c>
      <c r="E153" s="88"/>
      <c r="F153" s="118" t="s">
        <v>18</v>
      </c>
      <c r="G153" s="88"/>
      <c r="H153" s="88"/>
      <c r="I153" s="88"/>
      <c r="J153" s="88"/>
      <c r="K153" s="88"/>
      <c r="L153" s="88"/>
      <c r="M153" s="88"/>
      <c r="N153" s="88"/>
      <c r="O153" s="88"/>
      <c r="P153" s="138" t="s">
        <v>19</v>
      </c>
      <c r="Q153" s="214"/>
      <c r="R153" s="88"/>
      <c r="S153" s="88"/>
      <c r="T153" s="88"/>
      <c r="U153" s="116" t="s">
        <v>20</v>
      </c>
      <c r="V153" s="211"/>
      <c r="W153" s="88"/>
      <c r="X153" s="88"/>
      <c r="Y153" s="88"/>
      <c r="Z153" s="116" t="s">
        <v>21</v>
      </c>
      <c r="AA153" s="211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196"/>
      <c r="AO153" s="195"/>
      <c r="AZ153" s="69"/>
      <c r="BA153" s="69"/>
      <c r="BB153" s="89"/>
      <c r="BC153" s="69"/>
      <c r="BD153" s="113"/>
      <c r="BE153" s="69"/>
      <c r="BF153" s="113"/>
      <c r="BG153" s="69"/>
      <c r="BH153" s="69"/>
      <c r="BI153" s="69"/>
      <c r="BJ153" s="69"/>
      <c r="BK153" s="69"/>
      <c r="BL153" s="69"/>
      <c r="BM153" s="69"/>
      <c r="BN153" s="69"/>
      <c r="BO153" s="69"/>
      <c r="BP153" s="213"/>
      <c r="BQ153" s="89"/>
      <c r="BR153" s="69"/>
      <c r="BS153" s="69"/>
      <c r="BT153" s="69"/>
      <c r="BU153" s="70"/>
      <c r="BV153" s="89"/>
      <c r="BW153" s="69"/>
      <c r="BX153" s="69"/>
      <c r="BY153" s="69"/>
      <c r="BZ153" s="70"/>
      <c r="CA153" s="89"/>
      <c r="CB153" s="69"/>
      <c r="CC153" s="69"/>
      <c r="CD153" s="69"/>
      <c r="CE153" s="69"/>
      <c r="CF153" s="69"/>
      <c r="CG153" s="69"/>
      <c r="CH153" s="69"/>
    </row>
    <row r="154" spans="1:86" x14ac:dyDescent="0.2">
      <c r="A154" s="180"/>
      <c r="B154" s="88"/>
      <c r="C154" s="88"/>
      <c r="D154" s="211"/>
      <c r="E154" s="88"/>
      <c r="F154" s="211"/>
      <c r="G154" s="88"/>
      <c r="H154" s="88"/>
      <c r="I154" s="116" t="s">
        <v>22</v>
      </c>
      <c r="J154" s="211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196"/>
      <c r="AO154" s="195"/>
      <c r="AZ154" s="69"/>
      <c r="BA154" s="69"/>
      <c r="BB154" s="69"/>
      <c r="BC154" s="69"/>
      <c r="BD154" s="89"/>
      <c r="BE154" s="69"/>
      <c r="BF154" s="89"/>
      <c r="BG154" s="69"/>
      <c r="BH154" s="69"/>
      <c r="BI154" s="70"/>
      <c r="BJ154" s="8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</row>
    <row r="155" spans="1:86" x14ac:dyDescent="0.2">
      <c r="A155" s="180"/>
      <c r="B155" s="88"/>
      <c r="C155" s="88"/>
      <c r="D155" s="138" t="s">
        <v>23</v>
      </c>
      <c r="E155" s="275"/>
      <c r="F155" s="275"/>
      <c r="G155" s="275"/>
      <c r="H155" s="88"/>
      <c r="I155" s="88"/>
      <c r="J155" s="138" t="s">
        <v>16</v>
      </c>
      <c r="K155" s="275" t="s">
        <v>80</v>
      </c>
      <c r="L155" s="275"/>
      <c r="M155" s="275"/>
      <c r="N155" s="88"/>
      <c r="O155" s="116" t="s">
        <v>24</v>
      </c>
      <c r="P155" s="211"/>
      <c r="Q155" s="88"/>
      <c r="R155" s="88"/>
      <c r="S155" s="88"/>
      <c r="T155" s="88"/>
      <c r="U155" s="116" t="s">
        <v>25</v>
      </c>
      <c r="V155" s="211"/>
      <c r="W155" s="88"/>
      <c r="X155" s="88"/>
      <c r="Y155" s="88"/>
      <c r="Z155" s="116" t="s">
        <v>26</v>
      </c>
      <c r="AA155" s="212"/>
      <c r="AB155" s="88" t="s">
        <v>27</v>
      </c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196"/>
      <c r="AO155" s="195"/>
      <c r="AZ155" s="69"/>
      <c r="BA155" s="69"/>
      <c r="BB155" s="69"/>
      <c r="BC155" s="69"/>
      <c r="BD155" s="213"/>
      <c r="BE155" s="285"/>
      <c r="BF155" s="285"/>
      <c r="BG155" s="285"/>
      <c r="BH155" s="69"/>
      <c r="BI155" s="69"/>
      <c r="BJ155" s="213"/>
      <c r="BK155" s="285"/>
      <c r="BL155" s="285"/>
      <c r="BM155" s="285"/>
      <c r="BN155" s="69"/>
      <c r="BO155" s="70"/>
      <c r="BP155" s="89"/>
      <c r="BQ155" s="69"/>
      <c r="BR155" s="69"/>
      <c r="BS155" s="69"/>
      <c r="BT155" s="69"/>
      <c r="BU155" s="70"/>
      <c r="BV155" s="89"/>
      <c r="BW155" s="69"/>
      <c r="BX155" s="69"/>
      <c r="BY155" s="69"/>
      <c r="BZ155" s="70"/>
      <c r="CA155" s="89"/>
      <c r="CB155" s="69"/>
      <c r="CC155" s="69"/>
      <c r="CD155" s="69"/>
      <c r="CE155" s="69"/>
      <c r="CF155" s="69"/>
      <c r="CG155" s="69"/>
      <c r="CH155" s="69"/>
    </row>
    <row r="156" spans="1:86" x14ac:dyDescent="0.2">
      <c r="A156" s="180"/>
      <c r="B156" s="88"/>
      <c r="C156" s="88"/>
      <c r="D156" s="70" t="s">
        <v>28</v>
      </c>
      <c r="E156" s="211"/>
      <c r="F156" s="215"/>
      <c r="G156" s="88"/>
      <c r="H156" s="88"/>
      <c r="I156" s="88"/>
      <c r="J156" s="88"/>
      <c r="K156" s="138" t="s">
        <v>81</v>
      </c>
      <c r="L156" s="211"/>
      <c r="M156" s="88"/>
      <c r="N156" s="88"/>
      <c r="O156" s="88"/>
      <c r="P156" s="138" t="s">
        <v>16</v>
      </c>
      <c r="Q156" s="275" t="s">
        <v>84</v>
      </c>
      <c r="R156" s="275"/>
      <c r="S156" s="275"/>
      <c r="T156" s="88"/>
      <c r="U156" s="88"/>
      <c r="V156" s="88"/>
      <c r="W156" s="88"/>
      <c r="X156" s="88"/>
      <c r="Y156" s="88"/>
      <c r="Z156" s="138" t="s">
        <v>29</v>
      </c>
      <c r="AA156" s="211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196"/>
      <c r="AO156" s="195"/>
      <c r="AZ156" s="69"/>
      <c r="BA156" s="69"/>
      <c r="BB156" s="69"/>
      <c r="BC156" s="69"/>
      <c r="BD156" s="70"/>
      <c r="BE156" s="89"/>
      <c r="BF156" s="197"/>
      <c r="BG156" s="69"/>
      <c r="BH156" s="69"/>
      <c r="BI156" s="69"/>
      <c r="BJ156" s="69"/>
      <c r="BK156" s="213"/>
      <c r="BL156" s="89"/>
      <c r="BM156" s="69"/>
      <c r="BN156" s="69"/>
      <c r="BO156" s="69"/>
      <c r="BP156" s="213"/>
      <c r="BQ156" s="285"/>
      <c r="BR156" s="285"/>
      <c r="BS156" s="285"/>
      <c r="BT156" s="69"/>
      <c r="BU156" s="69"/>
      <c r="BV156" s="69"/>
      <c r="BW156" s="69"/>
      <c r="BX156" s="69"/>
      <c r="BY156" s="69"/>
      <c r="BZ156" s="213"/>
      <c r="CA156" s="89"/>
      <c r="CB156" s="69"/>
      <c r="CC156" s="69"/>
      <c r="CD156" s="69"/>
      <c r="CE156" s="69"/>
      <c r="CF156" s="69"/>
      <c r="CG156" s="69"/>
      <c r="CH156" s="69"/>
    </row>
    <row r="157" spans="1:86" x14ac:dyDescent="0.2">
      <c r="A157" s="180"/>
      <c r="B157" s="88"/>
      <c r="C157" s="88"/>
      <c r="D157" s="138" t="s">
        <v>30</v>
      </c>
      <c r="E157" s="275"/>
      <c r="F157" s="275"/>
      <c r="G157" s="275"/>
      <c r="H157" s="88"/>
      <c r="I157" s="88"/>
      <c r="J157" s="88"/>
      <c r="K157" s="138" t="s">
        <v>82</v>
      </c>
      <c r="L157" s="211"/>
      <c r="M157" s="99" t="s">
        <v>226</v>
      </c>
      <c r="N157" s="88"/>
      <c r="O157" s="88"/>
      <c r="P157" s="138" t="s">
        <v>19</v>
      </c>
      <c r="Q157" s="214"/>
      <c r="R157" s="88"/>
      <c r="S157" s="88"/>
      <c r="T157" s="88"/>
      <c r="U157" s="116" t="s">
        <v>31</v>
      </c>
      <c r="V157" s="211"/>
      <c r="W157" s="88"/>
      <c r="X157" s="88"/>
      <c r="Y157" s="88"/>
      <c r="Z157" s="213" t="s">
        <v>32</v>
      </c>
      <c r="AA157" s="211"/>
      <c r="AB157" s="88" t="s">
        <v>33</v>
      </c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196"/>
      <c r="AO157" s="195"/>
      <c r="AZ157" s="69"/>
      <c r="BA157" s="69"/>
      <c r="BB157" s="69"/>
      <c r="BC157" s="69"/>
      <c r="BD157" s="213"/>
      <c r="BE157" s="285"/>
      <c r="BF157" s="285"/>
      <c r="BG157" s="285"/>
      <c r="BH157" s="69"/>
      <c r="BI157" s="69"/>
      <c r="BJ157" s="69"/>
      <c r="BK157" s="213"/>
      <c r="BL157" s="89"/>
      <c r="BM157" s="76"/>
      <c r="BN157" s="69"/>
      <c r="BO157" s="69"/>
      <c r="BP157" s="213"/>
      <c r="BQ157" s="89"/>
      <c r="BR157" s="69"/>
      <c r="BS157" s="69"/>
      <c r="BT157" s="69"/>
      <c r="BU157" s="70"/>
      <c r="BV157" s="89"/>
      <c r="BW157" s="69"/>
      <c r="BX157" s="69"/>
      <c r="BY157" s="69"/>
      <c r="BZ157" s="213"/>
      <c r="CA157" s="89"/>
      <c r="CB157" s="69"/>
      <c r="CC157" s="69"/>
      <c r="CD157" s="69"/>
      <c r="CE157" s="69"/>
      <c r="CF157" s="69"/>
      <c r="CG157" s="69"/>
      <c r="CH157" s="69"/>
    </row>
    <row r="158" spans="1:86" x14ac:dyDescent="0.2">
      <c r="A158" s="180"/>
      <c r="B158" s="115"/>
      <c r="C158" s="116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196"/>
      <c r="AO158" s="195"/>
      <c r="AZ158" s="69"/>
      <c r="BA158" s="69"/>
      <c r="BB158" s="254"/>
      <c r="BC158" s="70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</row>
    <row r="159" spans="1:86" x14ac:dyDescent="0.2">
      <c r="A159" s="180"/>
      <c r="B159" s="118"/>
      <c r="C159" s="88"/>
      <c r="D159" s="88"/>
      <c r="E159" s="88"/>
      <c r="F159" s="119" t="s">
        <v>35</v>
      </c>
      <c r="G159" s="88"/>
      <c r="H159" s="88"/>
      <c r="I159" s="88"/>
      <c r="J159" s="88"/>
      <c r="K159" s="88"/>
      <c r="L159" s="88"/>
      <c r="M159" s="119" t="s">
        <v>237</v>
      </c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196"/>
      <c r="AO159" s="195"/>
      <c r="AZ159" s="69"/>
      <c r="BA159" s="69"/>
      <c r="BB159" s="113"/>
      <c r="BC159" s="69"/>
      <c r="BD159" s="69"/>
      <c r="BE159" s="69"/>
      <c r="BF159" s="266"/>
      <c r="BG159" s="69"/>
      <c r="BH159" s="69"/>
      <c r="BI159" s="69"/>
      <c r="BJ159" s="69"/>
      <c r="BK159" s="69"/>
      <c r="BL159" s="69"/>
      <c r="BM159" s="266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</row>
    <row r="160" spans="1:86" ht="67.5" x14ac:dyDescent="0.2">
      <c r="A160" s="180"/>
      <c r="B160" s="216" t="s">
        <v>37</v>
      </c>
      <c r="C160" s="216" t="s">
        <v>228</v>
      </c>
      <c r="D160" s="217" t="s">
        <v>38</v>
      </c>
      <c r="E160" s="216" t="s">
        <v>229</v>
      </c>
      <c r="F160" s="216" t="s">
        <v>230</v>
      </c>
      <c r="G160" s="216"/>
      <c r="H160" s="218" t="s">
        <v>39</v>
      </c>
      <c r="I160" s="219" t="s">
        <v>40</v>
      </c>
      <c r="J160" s="218" t="s">
        <v>41</v>
      </c>
      <c r="K160" s="219" t="s">
        <v>42</v>
      </c>
      <c r="L160" s="218" t="s">
        <v>43</v>
      </c>
      <c r="M160" s="219" t="s">
        <v>44</v>
      </c>
      <c r="N160" s="219" t="s">
        <v>45</v>
      </c>
      <c r="O160" s="219" t="s">
        <v>46</v>
      </c>
      <c r="P160" s="219" t="s">
        <v>47</v>
      </c>
      <c r="Q160" s="219" t="s">
        <v>48</v>
      </c>
      <c r="R160" s="219" t="s">
        <v>49</v>
      </c>
      <c r="S160" s="219" t="s">
        <v>50</v>
      </c>
      <c r="T160" s="219" t="s">
        <v>51</v>
      </c>
      <c r="U160" s="218" t="s">
        <v>52</v>
      </c>
      <c r="V160" s="219" t="s">
        <v>53</v>
      </c>
      <c r="W160" s="219" t="s">
        <v>54</v>
      </c>
      <c r="X160" s="219" t="s">
        <v>55</v>
      </c>
      <c r="Y160" s="219" t="s">
        <v>56</v>
      </c>
      <c r="Z160" s="218" t="s">
        <v>57</v>
      </c>
      <c r="AA160" s="219" t="s">
        <v>58</v>
      </c>
      <c r="AB160" s="219" t="s">
        <v>59</v>
      </c>
      <c r="AC160" s="124" t="s">
        <v>60</v>
      </c>
      <c r="AD160" s="125" t="s">
        <v>231</v>
      </c>
      <c r="AE160" s="88"/>
      <c r="AF160" s="88"/>
      <c r="AG160" s="88"/>
      <c r="AH160" s="88"/>
      <c r="AI160" s="88"/>
      <c r="AJ160" s="88"/>
      <c r="AK160" s="88"/>
      <c r="AL160" s="88"/>
      <c r="AM160" s="88"/>
      <c r="AN160" s="196"/>
      <c r="AO160" s="195"/>
      <c r="AZ160" s="69"/>
      <c r="BA160" s="69"/>
      <c r="BB160" s="267"/>
      <c r="BC160" s="267"/>
      <c r="BD160" s="268"/>
      <c r="BE160" s="267"/>
      <c r="BF160" s="267"/>
      <c r="BG160" s="267"/>
      <c r="BH160" s="267"/>
      <c r="BI160" s="267"/>
      <c r="BJ160" s="267"/>
      <c r="BK160" s="267"/>
      <c r="BL160" s="267"/>
      <c r="BM160" s="267"/>
      <c r="BN160" s="267"/>
      <c r="BO160" s="267"/>
      <c r="BP160" s="267"/>
      <c r="BQ160" s="267"/>
      <c r="BR160" s="267"/>
      <c r="BS160" s="267"/>
      <c r="BT160" s="267"/>
      <c r="BU160" s="267"/>
      <c r="BV160" s="267"/>
      <c r="BW160" s="267"/>
      <c r="BX160" s="267"/>
      <c r="BY160" s="267"/>
      <c r="BZ160" s="267"/>
      <c r="CA160" s="267"/>
      <c r="CB160" s="267"/>
      <c r="CC160" s="267"/>
      <c r="CD160" s="269"/>
      <c r="CE160" s="69"/>
      <c r="CF160" s="69"/>
      <c r="CG160" s="69"/>
      <c r="CH160" s="69"/>
    </row>
    <row r="161" spans="1:86" x14ac:dyDescent="0.2">
      <c r="A161" s="180"/>
      <c r="B161" s="119"/>
      <c r="C161" s="119"/>
      <c r="D161" s="119"/>
      <c r="E161" s="88"/>
      <c r="F161" s="88"/>
      <c r="G161" s="88"/>
      <c r="H161" s="119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115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196"/>
      <c r="AO161" s="195"/>
      <c r="AZ161" s="69"/>
      <c r="BA161" s="69"/>
      <c r="BB161" s="266"/>
      <c r="BC161" s="266"/>
      <c r="BD161" s="266"/>
      <c r="BE161" s="69"/>
      <c r="BF161" s="69"/>
      <c r="BG161" s="69"/>
      <c r="BH161" s="266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254"/>
      <c r="CC161" s="69"/>
      <c r="CD161" s="69"/>
      <c r="CE161" s="69"/>
      <c r="CF161" s="69"/>
      <c r="CG161" s="69"/>
      <c r="CH161" s="69"/>
    </row>
    <row r="162" spans="1:86" x14ac:dyDescent="0.2">
      <c r="A162" s="180"/>
      <c r="B162" s="119">
        <v>19</v>
      </c>
      <c r="C162" s="214"/>
      <c r="D162" s="127"/>
      <c r="E162" s="136"/>
      <c r="F162" s="127"/>
      <c r="G162" s="127"/>
      <c r="H162" s="221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3"/>
      <c r="Y162" s="214"/>
      <c r="Z162" s="214"/>
      <c r="AA162" s="214"/>
      <c r="AB162" s="214"/>
      <c r="AC162" s="214"/>
      <c r="AD162" s="136" t="s">
        <v>98</v>
      </c>
      <c r="AE162" s="88"/>
      <c r="AF162" s="88"/>
      <c r="AG162" s="88"/>
      <c r="AH162" s="88"/>
      <c r="AI162" s="88"/>
      <c r="AJ162" s="88"/>
      <c r="AK162" s="88"/>
      <c r="AL162" s="88"/>
      <c r="AM162" s="88"/>
      <c r="AN162" s="196"/>
      <c r="AO162" s="195"/>
      <c r="AZ162" s="69"/>
      <c r="BA162" s="69"/>
      <c r="BB162" s="266"/>
      <c r="BC162" s="89"/>
      <c r="BD162" s="257"/>
      <c r="BE162" s="255"/>
      <c r="BF162" s="257"/>
      <c r="BG162" s="257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  <c r="BT162" s="89"/>
      <c r="BU162" s="89"/>
      <c r="BV162" s="89"/>
      <c r="BW162" s="89"/>
      <c r="BX162" s="89"/>
      <c r="BY162" s="89"/>
      <c r="BZ162" s="89"/>
      <c r="CA162" s="89"/>
      <c r="CB162" s="89"/>
      <c r="CC162" s="89"/>
      <c r="CD162" s="255"/>
      <c r="CE162" s="69"/>
      <c r="CF162" s="69"/>
      <c r="CG162" s="69"/>
      <c r="CH162" s="69"/>
    </row>
    <row r="163" spans="1:86" x14ac:dyDescent="0.2">
      <c r="A163" s="180"/>
      <c r="B163" s="119">
        <v>18</v>
      </c>
      <c r="C163" s="214"/>
      <c r="D163" s="127"/>
      <c r="E163" s="136"/>
      <c r="F163" s="127"/>
      <c r="G163" s="127"/>
      <c r="H163" s="224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6"/>
      <c r="Y163" s="214"/>
      <c r="Z163" s="214"/>
      <c r="AA163" s="214"/>
      <c r="AB163" s="214"/>
      <c r="AC163" s="214"/>
      <c r="AD163" s="136" t="s">
        <v>98</v>
      </c>
      <c r="AE163" s="88"/>
      <c r="AF163" s="88"/>
      <c r="AG163" s="88"/>
      <c r="AH163" s="88"/>
      <c r="AI163" s="88"/>
      <c r="AJ163" s="88"/>
      <c r="AK163" s="88"/>
      <c r="AL163" s="88"/>
      <c r="AM163" s="88"/>
      <c r="AN163" s="196"/>
      <c r="AO163" s="195"/>
      <c r="AZ163" s="69"/>
      <c r="BA163" s="69"/>
      <c r="BB163" s="266"/>
      <c r="BC163" s="89"/>
      <c r="BD163" s="257"/>
      <c r="BE163" s="255"/>
      <c r="BF163" s="257"/>
      <c r="BG163" s="257"/>
      <c r="BH163" s="89"/>
      <c r="BI163" s="89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89"/>
      <c r="BZ163" s="89"/>
      <c r="CA163" s="89"/>
      <c r="CB163" s="89"/>
      <c r="CC163" s="89"/>
      <c r="CD163" s="255"/>
      <c r="CE163" s="69"/>
      <c r="CF163" s="69"/>
      <c r="CG163" s="69"/>
      <c r="CH163" s="69"/>
    </row>
    <row r="164" spans="1:86" x14ac:dyDescent="0.2">
      <c r="A164" s="180"/>
      <c r="B164" s="119">
        <v>17</v>
      </c>
      <c r="C164" s="214"/>
      <c r="D164" s="127"/>
      <c r="E164" s="136"/>
      <c r="F164" s="127"/>
      <c r="G164" s="127"/>
      <c r="H164" s="224"/>
      <c r="I164" s="225"/>
      <c r="J164" s="225"/>
      <c r="K164" s="225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6"/>
      <c r="Y164" s="214"/>
      <c r="Z164" s="214"/>
      <c r="AA164" s="214"/>
      <c r="AB164" s="214"/>
      <c r="AC164" s="214"/>
      <c r="AD164" s="136" t="s">
        <v>98</v>
      </c>
      <c r="AE164" s="88"/>
      <c r="AF164" s="88"/>
      <c r="AG164" s="88"/>
      <c r="AH164" s="88"/>
      <c r="AI164" s="88"/>
      <c r="AJ164" s="88"/>
      <c r="AK164" s="88"/>
      <c r="AL164" s="88"/>
      <c r="AM164" s="88"/>
      <c r="AN164" s="196"/>
      <c r="AO164" s="195"/>
      <c r="AZ164" s="69"/>
      <c r="BA164" s="69"/>
      <c r="BB164" s="266"/>
      <c r="BC164" s="89"/>
      <c r="BD164" s="257"/>
      <c r="BE164" s="255"/>
      <c r="BF164" s="257"/>
      <c r="BG164" s="257"/>
      <c r="BH164" s="89"/>
      <c r="BI164" s="89"/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89"/>
      <c r="BZ164" s="89"/>
      <c r="CA164" s="89"/>
      <c r="CB164" s="89"/>
      <c r="CC164" s="89"/>
      <c r="CD164" s="255"/>
      <c r="CE164" s="69"/>
      <c r="CF164" s="69"/>
      <c r="CG164" s="69"/>
      <c r="CH164" s="69"/>
    </row>
    <row r="165" spans="1:86" x14ac:dyDescent="0.2">
      <c r="A165" s="180"/>
      <c r="B165" s="119">
        <v>16</v>
      </c>
      <c r="C165" s="214"/>
      <c r="D165" s="127"/>
      <c r="E165" s="136"/>
      <c r="F165" s="127"/>
      <c r="G165" s="127"/>
      <c r="H165" s="227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9"/>
      <c r="Y165" s="134"/>
      <c r="Z165" s="134"/>
      <c r="AA165" s="134"/>
      <c r="AB165" s="134"/>
      <c r="AC165" s="134"/>
      <c r="AD165" s="136"/>
      <c r="AE165" s="88"/>
      <c r="AF165" s="88"/>
      <c r="AG165" s="88"/>
      <c r="AH165" s="88"/>
      <c r="AI165" s="88"/>
      <c r="AJ165" s="88"/>
      <c r="AK165" s="88"/>
      <c r="AL165" s="88"/>
      <c r="AM165" s="88"/>
      <c r="AN165" s="196"/>
      <c r="AO165" s="195"/>
      <c r="AZ165" s="69"/>
      <c r="BA165" s="69"/>
      <c r="BB165" s="266"/>
      <c r="BC165" s="89"/>
      <c r="BD165" s="257"/>
      <c r="BE165" s="255"/>
      <c r="BF165" s="257"/>
      <c r="BG165" s="257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89"/>
      <c r="BZ165" s="89"/>
      <c r="CA165" s="89"/>
      <c r="CB165" s="89"/>
      <c r="CC165" s="89"/>
      <c r="CD165" s="255"/>
      <c r="CE165" s="69"/>
      <c r="CF165" s="69"/>
      <c r="CG165" s="69"/>
      <c r="CH165" s="69"/>
    </row>
    <row r="166" spans="1:86" x14ac:dyDescent="0.2">
      <c r="A166" s="180"/>
      <c r="B166" s="119">
        <v>15</v>
      </c>
      <c r="C166" s="214"/>
      <c r="D166" s="127"/>
      <c r="E166" s="136"/>
      <c r="F166" s="127"/>
      <c r="G166" s="127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136"/>
      <c r="AE166" s="88"/>
      <c r="AF166" s="88"/>
      <c r="AG166" s="88"/>
      <c r="AH166" s="88"/>
      <c r="AI166" s="88"/>
      <c r="AJ166" s="88"/>
      <c r="AK166" s="88"/>
      <c r="AL166" s="88"/>
      <c r="AM166" s="88"/>
      <c r="AN166" s="196"/>
      <c r="AO166" s="195"/>
      <c r="AZ166" s="69"/>
      <c r="BA166" s="69"/>
      <c r="BB166" s="266"/>
      <c r="BC166" s="89"/>
      <c r="BD166" s="257"/>
      <c r="BE166" s="255"/>
      <c r="BF166" s="257"/>
      <c r="BG166" s="257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89"/>
      <c r="BZ166" s="89"/>
      <c r="CA166" s="89"/>
      <c r="CB166" s="89"/>
      <c r="CC166" s="89"/>
      <c r="CD166" s="255"/>
      <c r="CE166" s="69"/>
      <c r="CF166" s="69"/>
      <c r="CG166" s="69"/>
      <c r="CH166" s="69"/>
    </row>
    <row r="167" spans="1:86" x14ac:dyDescent="0.2">
      <c r="A167" s="180"/>
      <c r="B167" s="119" t="s">
        <v>63</v>
      </c>
      <c r="C167" s="214"/>
      <c r="D167" s="127"/>
      <c r="E167" s="136"/>
      <c r="F167" s="127"/>
      <c r="G167" s="127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134"/>
      <c r="AD167" s="136"/>
      <c r="AE167" s="88"/>
      <c r="AF167" s="88"/>
      <c r="AG167" s="88"/>
      <c r="AH167" s="88"/>
      <c r="AI167" s="88"/>
      <c r="AJ167" s="88"/>
      <c r="AK167" s="88"/>
      <c r="AL167" s="88"/>
      <c r="AM167" s="88"/>
      <c r="AN167" s="196"/>
      <c r="AO167" s="195"/>
      <c r="AZ167" s="69"/>
      <c r="BA167" s="69"/>
      <c r="BB167" s="266"/>
      <c r="BC167" s="89"/>
      <c r="BD167" s="257"/>
      <c r="BE167" s="255"/>
      <c r="BF167" s="257"/>
      <c r="BG167" s="257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89"/>
      <c r="BZ167" s="89"/>
      <c r="CA167" s="89"/>
      <c r="CB167" s="89"/>
      <c r="CC167" s="89"/>
      <c r="CD167" s="255"/>
      <c r="CE167" s="69"/>
      <c r="CF167" s="69"/>
      <c r="CG167" s="69"/>
      <c r="CH167" s="69"/>
    </row>
    <row r="168" spans="1:86" x14ac:dyDescent="0.2">
      <c r="A168" s="180"/>
      <c r="B168" s="138" t="s">
        <v>64</v>
      </c>
      <c r="C168" s="119"/>
      <c r="D168" s="127"/>
      <c r="E168" s="127"/>
      <c r="F168" s="127"/>
      <c r="G168" s="138" t="s">
        <v>65</v>
      </c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231" t="s">
        <v>100</v>
      </c>
      <c r="AE168" s="88"/>
      <c r="AF168" s="88"/>
      <c r="AG168" s="88"/>
      <c r="AH168" s="88"/>
      <c r="AI168" s="88"/>
      <c r="AJ168" s="88"/>
      <c r="AK168" s="88"/>
      <c r="AL168" s="88"/>
      <c r="AM168" s="88"/>
      <c r="AN168" s="196"/>
      <c r="AO168" s="195"/>
      <c r="AZ168" s="69"/>
      <c r="BA168" s="69"/>
      <c r="BB168" s="213"/>
      <c r="BC168" s="266"/>
      <c r="BD168" s="257"/>
      <c r="BE168" s="257"/>
      <c r="BF168" s="257"/>
      <c r="BG168" s="213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270"/>
      <c r="CE168" s="69"/>
      <c r="CF168" s="69"/>
      <c r="CG168" s="69"/>
      <c r="CH168" s="69"/>
    </row>
    <row r="169" spans="1:86" x14ac:dyDescent="0.2">
      <c r="A169" s="187"/>
      <c r="B169" s="245"/>
      <c r="C169" s="246" t="s">
        <v>85</v>
      </c>
      <c r="D169" s="188"/>
      <c r="E169" s="188"/>
      <c r="F169" s="188"/>
      <c r="G169" s="247" t="s">
        <v>65</v>
      </c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172" t="s">
        <v>100</v>
      </c>
      <c r="AE169" s="172"/>
      <c r="AF169" s="172"/>
      <c r="AG169" s="172"/>
      <c r="AH169" s="172"/>
      <c r="AI169" s="172"/>
      <c r="AJ169" s="172"/>
      <c r="AK169" s="172"/>
      <c r="AL169" s="172"/>
      <c r="AM169" s="172"/>
      <c r="AN169" s="249"/>
      <c r="AO169" s="250"/>
      <c r="AZ169" s="69"/>
      <c r="BA169" s="69"/>
      <c r="BB169" s="257"/>
      <c r="BC169" s="254"/>
      <c r="BD169" s="69"/>
      <c r="BE169" s="69"/>
      <c r="BF169" s="69"/>
      <c r="BG169" s="213"/>
      <c r="BH169" s="253"/>
      <c r="BI169" s="253"/>
      <c r="BJ169" s="253"/>
      <c r="BK169" s="253"/>
      <c r="BL169" s="253"/>
      <c r="BM169" s="253"/>
      <c r="BN169" s="253"/>
      <c r="BO169" s="253"/>
      <c r="BP169" s="253"/>
      <c r="BQ169" s="253"/>
      <c r="BR169" s="253"/>
      <c r="BS169" s="253"/>
      <c r="BT169" s="253"/>
      <c r="BU169" s="253"/>
      <c r="BV169" s="253"/>
      <c r="BW169" s="253"/>
      <c r="BX169" s="253"/>
      <c r="BY169" s="253"/>
      <c r="BZ169" s="253"/>
      <c r="CA169" s="253"/>
      <c r="CB169" s="253"/>
      <c r="CC169" s="253"/>
      <c r="CD169" s="69"/>
      <c r="CE169" s="69"/>
      <c r="CF169" s="69"/>
      <c r="CG169" s="69"/>
      <c r="CH169" s="69"/>
    </row>
    <row r="170" spans="1:86" x14ac:dyDescent="0.2"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</row>
    <row r="171" spans="1:86" x14ac:dyDescent="0.2">
      <c r="AM171" s="239" t="s">
        <v>199</v>
      </c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</row>
    <row r="172" spans="1:86" x14ac:dyDescent="0.2">
      <c r="A172" s="177"/>
      <c r="B172" s="240" t="s">
        <v>103</v>
      </c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2"/>
      <c r="AO172" s="243"/>
      <c r="AZ172" s="69"/>
      <c r="BA172" s="69"/>
      <c r="BB172" s="271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</row>
    <row r="173" spans="1:86" ht="15.75" thickBot="1" x14ac:dyDescent="0.25">
      <c r="A173" s="180"/>
      <c r="B173" s="88"/>
      <c r="C173" s="88"/>
      <c r="D173" s="69"/>
      <c r="E173" s="70" t="s">
        <v>202</v>
      </c>
      <c r="F173" s="71"/>
      <c r="H173" s="69"/>
      <c r="I173" s="72"/>
      <c r="K173" s="70" t="s">
        <v>120</v>
      </c>
      <c r="L173" s="73"/>
      <c r="M173" s="74"/>
      <c r="N173" s="75"/>
      <c r="P173" s="76"/>
      <c r="Q173" s="70" t="s">
        <v>249</v>
      </c>
      <c r="R173" s="77"/>
      <c r="S173" s="78"/>
      <c r="T173" s="79"/>
      <c r="U173" s="80"/>
      <c r="V173" s="88"/>
      <c r="W173" s="88"/>
      <c r="X173" s="88"/>
      <c r="Y173" s="116" t="s">
        <v>301</v>
      </c>
      <c r="Z173" s="81"/>
      <c r="AA173" s="88"/>
      <c r="AB173" s="88"/>
      <c r="AC173" s="116" t="s">
        <v>201</v>
      </c>
      <c r="AD173" s="81"/>
      <c r="AE173" s="88"/>
      <c r="AF173" s="88"/>
      <c r="AG173" s="88"/>
      <c r="AH173" s="88"/>
      <c r="AI173" s="182" t="s">
        <v>188</v>
      </c>
      <c r="AJ173" s="192" t="s">
        <v>186</v>
      </c>
      <c r="AK173" s="193"/>
      <c r="AL173" s="193"/>
      <c r="AM173" s="193"/>
      <c r="AN173" s="194"/>
      <c r="AO173" s="195"/>
      <c r="AZ173" s="69"/>
      <c r="BA173" s="69"/>
      <c r="BB173" s="69"/>
      <c r="BC173" s="69"/>
      <c r="BD173" s="69"/>
      <c r="BE173" s="70"/>
      <c r="BF173" s="76"/>
      <c r="BG173" s="69"/>
      <c r="BH173" s="69"/>
      <c r="BI173" s="72"/>
      <c r="BJ173" s="69"/>
      <c r="BK173" s="70"/>
      <c r="BL173" s="262"/>
      <c r="BM173" s="69"/>
      <c r="BN173" s="69"/>
      <c r="BO173" s="69"/>
      <c r="BP173" s="76"/>
      <c r="BQ173" s="70"/>
      <c r="BR173" s="262"/>
      <c r="BS173" s="69"/>
      <c r="BT173" s="262"/>
      <c r="BU173" s="69"/>
      <c r="BV173" s="69"/>
      <c r="BW173" s="69"/>
      <c r="BX173" s="69"/>
      <c r="BY173" s="70"/>
      <c r="BZ173" s="263"/>
      <c r="CA173" s="69"/>
      <c r="CB173" s="69"/>
      <c r="CC173" s="70"/>
      <c r="CD173" s="263"/>
      <c r="CE173" s="69"/>
      <c r="CF173" s="69"/>
      <c r="CG173" s="69"/>
      <c r="CH173" s="69"/>
    </row>
    <row r="174" spans="1:86" x14ac:dyDescent="0.2">
      <c r="A174" s="180"/>
      <c r="B174" s="88"/>
      <c r="C174" s="88"/>
      <c r="D174" s="69"/>
      <c r="E174" s="70" t="s">
        <v>204</v>
      </c>
      <c r="F174" s="276"/>
      <c r="G174" s="277"/>
      <c r="H174" s="69"/>
      <c r="I174" s="69"/>
      <c r="K174" s="70" t="s">
        <v>252</v>
      </c>
      <c r="L174" s="73"/>
      <c r="M174" s="74"/>
      <c r="N174" s="75"/>
      <c r="P174" s="77"/>
      <c r="Q174" s="79"/>
      <c r="R174" s="78"/>
      <c r="S174" s="78"/>
      <c r="T174" s="79"/>
      <c r="U174" s="80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196"/>
      <c r="AO174" s="195"/>
      <c r="AZ174" s="69"/>
      <c r="BA174" s="69"/>
      <c r="BB174" s="69"/>
      <c r="BC174" s="69"/>
      <c r="BD174" s="69"/>
      <c r="BE174" s="70"/>
      <c r="BF174" s="283"/>
      <c r="BG174" s="284"/>
      <c r="BH174" s="69"/>
      <c r="BI174" s="69"/>
      <c r="BJ174" s="69"/>
      <c r="BK174" s="70"/>
      <c r="BL174" s="262"/>
      <c r="BM174" s="69"/>
      <c r="BN174" s="69"/>
      <c r="BO174" s="69"/>
      <c r="BP174" s="262"/>
      <c r="BQ174" s="262"/>
      <c r="BR174" s="69"/>
      <c r="BS174" s="69"/>
      <c r="BT174" s="262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</row>
    <row r="175" spans="1:86" ht="13.5" thickBot="1" x14ac:dyDescent="0.25">
      <c r="A175" s="180"/>
      <c r="B175" s="88"/>
      <c r="C175" s="88"/>
      <c r="D175" s="69"/>
      <c r="E175" s="70" t="s">
        <v>125</v>
      </c>
      <c r="F175" s="276"/>
      <c r="G175" s="277"/>
      <c r="K175" s="70" t="s">
        <v>121</v>
      </c>
      <c r="L175" s="41"/>
      <c r="P175" s="77"/>
      <c r="Q175" s="79"/>
      <c r="R175" s="78"/>
      <c r="S175" s="78"/>
      <c r="T175" s="79"/>
      <c r="U175" s="80"/>
      <c r="V175" s="88"/>
      <c r="W175" s="88"/>
      <c r="X175" s="88"/>
      <c r="Y175" s="88"/>
      <c r="Z175" s="69"/>
      <c r="AA175" s="69"/>
      <c r="AB175" s="69"/>
      <c r="AC175" s="70" t="s">
        <v>178</v>
      </c>
      <c r="AD175" s="83"/>
      <c r="AE175" s="88"/>
      <c r="AF175" s="88"/>
      <c r="AG175" s="88"/>
      <c r="AH175" s="88"/>
      <c r="AI175" s="88"/>
      <c r="AJ175" s="88"/>
      <c r="AK175" s="88"/>
      <c r="AL175" s="88"/>
      <c r="AM175" s="88"/>
      <c r="AN175" s="196"/>
      <c r="AO175" s="195"/>
      <c r="AZ175" s="69"/>
      <c r="BA175" s="69"/>
      <c r="BB175" s="69"/>
      <c r="BC175" s="69"/>
      <c r="BD175" s="69"/>
      <c r="BE175" s="70"/>
      <c r="BF175" s="283"/>
      <c r="BG175" s="284"/>
      <c r="BH175" s="69"/>
      <c r="BI175" s="69"/>
      <c r="BJ175" s="69"/>
      <c r="BK175" s="70"/>
      <c r="BL175" s="89"/>
      <c r="BM175" s="69"/>
      <c r="BN175" s="69"/>
      <c r="BO175" s="69"/>
      <c r="BP175" s="262"/>
      <c r="BQ175" s="262"/>
      <c r="BR175" s="69"/>
      <c r="BS175" s="69"/>
      <c r="BT175" s="262"/>
      <c r="BU175" s="69"/>
      <c r="BV175" s="69"/>
      <c r="BW175" s="69"/>
      <c r="BX175" s="69"/>
      <c r="BY175" s="69"/>
      <c r="BZ175" s="69"/>
      <c r="CA175" s="69"/>
      <c r="CB175" s="69"/>
      <c r="CC175" s="70"/>
      <c r="CD175" s="263"/>
      <c r="CE175" s="69"/>
      <c r="CF175" s="69"/>
      <c r="CG175" s="69"/>
      <c r="CH175" s="69"/>
    </row>
    <row r="176" spans="1:86" x14ac:dyDescent="0.2">
      <c r="A176" s="180"/>
      <c r="B176" s="88"/>
      <c r="C176" s="88"/>
      <c r="D176" s="69"/>
      <c r="E176" s="70" t="s">
        <v>111</v>
      </c>
      <c r="F176" s="276"/>
      <c r="G176" s="277"/>
      <c r="K176" s="70" t="s">
        <v>261</v>
      </c>
      <c r="L176" s="84"/>
      <c r="Q176" s="76"/>
      <c r="R176" s="76"/>
      <c r="S176" s="70"/>
      <c r="V176" s="88"/>
      <c r="W176" s="88"/>
      <c r="X176" s="88"/>
      <c r="Y176" s="88"/>
      <c r="Z176" s="88"/>
      <c r="AA176" s="88"/>
      <c r="AB176" s="88"/>
      <c r="AC176" s="69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196"/>
      <c r="AO176" s="195"/>
      <c r="AZ176" s="69"/>
      <c r="BA176" s="69"/>
      <c r="BB176" s="69"/>
      <c r="BC176" s="69"/>
      <c r="BD176" s="69"/>
      <c r="BE176" s="70"/>
      <c r="BF176" s="283"/>
      <c r="BG176" s="284"/>
      <c r="BH176" s="69"/>
      <c r="BI176" s="69"/>
      <c r="BJ176" s="69"/>
      <c r="BK176" s="70"/>
      <c r="BL176" s="257"/>
      <c r="BM176" s="69"/>
      <c r="BN176" s="69"/>
      <c r="BO176" s="69"/>
      <c r="BP176" s="69"/>
      <c r="BQ176" s="76"/>
      <c r="BR176" s="76"/>
      <c r="BS176" s="70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</row>
    <row r="177" spans="1:86" ht="13.5" thickBot="1" x14ac:dyDescent="0.25">
      <c r="A177" s="180"/>
      <c r="B177" s="88"/>
      <c r="C177" s="88"/>
      <c r="D177" s="69"/>
      <c r="E177" s="70" t="s">
        <v>255</v>
      </c>
      <c r="F177" s="41"/>
      <c r="K177" s="70" t="s">
        <v>225</v>
      </c>
      <c r="L177" s="41"/>
      <c r="M177" s="68" t="s">
        <v>248</v>
      </c>
      <c r="P177" s="76"/>
      <c r="Q177" s="76"/>
      <c r="R177" s="76"/>
      <c r="S177" s="70"/>
      <c r="V177" s="88"/>
      <c r="W177" s="88"/>
      <c r="X177" s="88"/>
      <c r="Y177" s="88"/>
      <c r="Z177" s="88"/>
      <c r="AA177" s="88"/>
      <c r="AB177" s="88"/>
      <c r="AC177" s="70" t="s">
        <v>239</v>
      </c>
      <c r="AD177" s="83" t="s">
        <v>98</v>
      </c>
      <c r="AE177" s="88"/>
      <c r="AF177" s="88"/>
      <c r="AG177" s="88"/>
      <c r="AH177" s="88"/>
      <c r="AI177" s="88"/>
      <c r="AJ177" s="88" t="s">
        <v>190</v>
      </c>
      <c r="AK177" s="88"/>
      <c r="AL177" s="88" t="s">
        <v>177</v>
      </c>
      <c r="AM177" s="88"/>
      <c r="AN177" s="196"/>
      <c r="AO177" s="195"/>
      <c r="AZ177" s="69"/>
      <c r="BA177" s="69"/>
      <c r="BB177" s="69"/>
      <c r="BC177" s="69"/>
      <c r="BD177" s="69"/>
      <c r="BE177" s="70"/>
      <c r="BF177" s="89"/>
      <c r="BG177" s="69"/>
      <c r="BH177" s="69"/>
      <c r="BI177" s="69"/>
      <c r="BJ177" s="69"/>
      <c r="BK177" s="70"/>
      <c r="BL177" s="89"/>
      <c r="BM177" s="69"/>
      <c r="BN177" s="69"/>
      <c r="BO177" s="69"/>
      <c r="BP177" s="76"/>
      <c r="BQ177" s="76"/>
      <c r="BR177" s="76"/>
      <c r="BS177" s="70"/>
      <c r="BT177" s="69"/>
      <c r="BU177" s="69"/>
      <c r="BV177" s="69"/>
      <c r="BW177" s="69"/>
      <c r="BX177" s="69"/>
      <c r="BY177" s="69"/>
      <c r="BZ177" s="69"/>
      <c r="CA177" s="69"/>
      <c r="CB177" s="69"/>
      <c r="CC177" s="70"/>
      <c r="CD177" s="263"/>
      <c r="CE177" s="69"/>
      <c r="CF177" s="69"/>
      <c r="CG177" s="69"/>
      <c r="CH177" s="69"/>
    </row>
    <row r="178" spans="1:86" x14ac:dyDescent="0.2">
      <c r="A178" s="180"/>
      <c r="B178" s="88"/>
      <c r="C178" s="88"/>
      <c r="D178" s="69"/>
      <c r="E178" s="70" t="s">
        <v>107</v>
      </c>
      <c r="F178" s="41"/>
      <c r="K178" s="70" t="s">
        <v>250</v>
      </c>
      <c r="L178" s="85"/>
      <c r="M178" s="86"/>
      <c r="N178" s="68" t="s">
        <v>251</v>
      </c>
      <c r="P178" s="244"/>
      <c r="Q178" s="100"/>
      <c r="R178" s="100" t="s">
        <v>141</v>
      </c>
      <c r="S178" s="100"/>
      <c r="T178" s="76"/>
      <c r="V178" s="88"/>
      <c r="W178" s="88"/>
      <c r="X178" s="88"/>
      <c r="Y178" s="88"/>
      <c r="Z178" s="88"/>
      <c r="AA178" s="88"/>
      <c r="AB178" s="88"/>
      <c r="AC178" s="69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196"/>
      <c r="AO178" s="195"/>
      <c r="AZ178" s="69"/>
      <c r="BA178" s="69"/>
      <c r="BB178" s="69"/>
      <c r="BC178" s="69"/>
      <c r="BD178" s="69"/>
      <c r="BE178" s="70"/>
      <c r="BF178" s="89"/>
      <c r="BG178" s="69"/>
      <c r="BH178" s="69"/>
      <c r="BI178" s="69"/>
      <c r="BJ178" s="69"/>
      <c r="BK178" s="70"/>
      <c r="BL178" s="89"/>
      <c r="BM178" s="89"/>
      <c r="BN178" s="69"/>
      <c r="BO178" s="69"/>
      <c r="BP178" s="69"/>
      <c r="BQ178" s="113"/>
      <c r="BR178" s="113"/>
      <c r="BS178" s="113"/>
      <c r="BT178" s="76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</row>
    <row r="179" spans="1:86" x14ac:dyDescent="0.2">
      <c r="A179" s="180"/>
      <c r="B179" s="88"/>
      <c r="C179" s="88"/>
      <c r="D179" s="88"/>
      <c r="E179" s="70" t="s">
        <v>224</v>
      </c>
      <c r="F179" s="41"/>
      <c r="K179" s="70" t="s">
        <v>140</v>
      </c>
      <c r="L179" s="41"/>
      <c r="O179" s="76"/>
      <c r="P179" s="76"/>
      <c r="S179" s="70" t="s">
        <v>142</v>
      </c>
      <c r="T179" s="276"/>
      <c r="U179" s="277"/>
      <c r="V179" s="88"/>
      <c r="W179" s="198"/>
      <c r="X179" s="199"/>
      <c r="Y179" s="199"/>
      <c r="Z179" s="200"/>
      <c r="AA179" s="201" t="s">
        <v>217</v>
      </c>
      <c r="AB179" s="199"/>
      <c r="AC179" s="202"/>
      <c r="AD179" s="203"/>
      <c r="AE179" s="88"/>
      <c r="AF179" s="88"/>
      <c r="AG179" s="88"/>
      <c r="AH179" s="88"/>
      <c r="AI179" s="88"/>
      <c r="AJ179" s="88" t="s">
        <v>191</v>
      </c>
      <c r="AK179" s="88"/>
      <c r="AL179" s="88"/>
      <c r="AM179" s="88"/>
      <c r="AN179" s="196"/>
      <c r="AO179" s="195"/>
      <c r="AZ179" s="69"/>
      <c r="BA179" s="69"/>
      <c r="BB179" s="69"/>
      <c r="BC179" s="69"/>
      <c r="BD179" s="69"/>
      <c r="BE179" s="70"/>
      <c r="BF179" s="89"/>
      <c r="BG179" s="69"/>
      <c r="BH179" s="69"/>
      <c r="BI179" s="69"/>
      <c r="BJ179" s="69"/>
      <c r="BK179" s="70"/>
      <c r="BL179" s="89"/>
      <c r="BM179" s="69"/>
      <c r="BN179" s="69"/>
      <c r="BO179" s="76"/>
      <c r="BP179" s="76"/>
      <c r="BQ179" s="69"/>
      <c r="BR179" s="69"/>
      <c r="BS179" s="70"/>
      <c r="BT179" s="283"/>
      <c r="BU179" s="284"/>
      <c r="BV179" s="69"/>
      <c r="BW179" s="69"/>
      <c r="BX179" s="69"/>
      <c r="BY179" s="69"/>
      <c r="BZ179" s="254"/>
      <c r="CA179" s="113"/>
      <c r="CB179" s="69"/>
      <c r="CC179" s="260"/>
      <c r="CD179" s="69"/>
      <c r="CE179" s="69"/>
      <c r="CF179" s="69"/>
      <c r="CG179" s="69"/>
      <c r="CH179" s="69"/>
    </row>
    <row r="180" spans="1:86" x14ac:dyDescent="0.2">
      <c r="A180" s="180"/>
      <c r="B180" s="88"/>
      <c r="C180" s="88"/>
      <c r="D180" s="69"/>
      <c r="E180" s="70" t="s">
        <v>110</v>
      </c>
      <c r="F180" s="41"/>
      <c r="K180" s="70" t="s">
        <v>259</v>
      </c>
      <c r="L180" s="85"/>
      <c r="M180" s="86"/>
      <c r="N180" s="70"/>
      <c r="S180" s="70" t="s">
        <v>143</v>
      </c>
      <c r="T180" s="73"/>
      <c r="U180" s="75"/>
      <c r="V180" s="88"/>
      <c r="W180" s="96"/>
      <c r="X180" s="97"/>
      <c r="Y180" s="97"/>
      <c r="Z180" s="97"/>
      <c r="AA180" s="97"/>
      <c r="AB180" s="97"/>
      <c r="AC180" s="97"/>
      <c r="AD180" s="98"/>
      <c r="AE180" s="88"/>
      <c r="AF180" s="88"/>
      <c r="AG180" s="88"/>
      <c r="AH180" s="88"/>
      <c r="AI180" s="88"/>
      <c r="AJ180" s="88"/>
      <c r="AK180" s="88"/>
      <c r="AL180" s="88"/>
      <c r="AM180" s="88"/>
      <c r="AN180" s="196"/>
      <c r="AO180" s="195"/>
      <c r="AZ180" s="69"/>
      <c r="BA180" s="69"/>
      <c r="BB180" s="69"/>
      <c r="BC180" s="69"/>
      <c r="BD180" s="69"/>
      <c r="BE180" s="70"/>
      <c r="BF180" s="89"/>
      <c r="BG180" s="69"/>
      <c r="BH180" s="69"/>
      <c r="BI180" s="69"/>
      <c r="BJ180" s="69"/>
      <c r="BK180" s="70"/>
      <c r="BL180" s="89"/>
      <c r="BM180" s="89"/>
      <c r="BN180" s="70"/>
      <c r="BO180" s="69"/>
      <c r="BP180" s="69"/>
      <c r="BQ180" s="69"/>
      <c r="BR180" s="69"/>
      <c r="BS180" s="70"/>
      <c r="BT180" s="262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</row>
    <row r="181" spans="1:86" x14ac:dyDescent="0.2">
      <c r="A181" s="180"/>
      <c r="B181" s="88"/>
      <c r="C181" s="88"/>
      <c r="D181" s="69"/>
      <c r="E181" s="70" t="s">
        <v>243</v>
      </c>
      <c r="F181" s="41"/>
      <c r="K181" s="70" t="s">
        <v>112</v>
      </c>
      <c r="L181" s="41"/>
      <c r="M181" s="99" t="s">
        <v>293</v>
      </c>
      <c r="Q181" s="100"/>
      <c r="R181" s="100" t="s">
        <v>144</v>
      </c>
      <c r="S181" s="100"/>
      <c r="T181" s="76"/>
      <c r="U181" s="76"/>
      <c r="V181" s="88"/>
      <c r="W181" s="96"/>
      <c r="X181" s="97"/>
      <c r="Y181" s="97"/>
      <c r="Z181" s="97"/>
      <c r="AA181" s="97"/>
      <c r="AB181" s="97"/>
      <c r="AC181" s="101" t="s">
        <v>294</v>
      </c>
      <c r="AD181" s="102" t="s">
        <v>98</v>
      </c>
      <c r="AE181" s="88"/>
      <c r="AF181" s="88"/>
      <c r="AG181" s="88"/>
      <c r="AH181" s="88"/>
      <c r="AI181" s="88"/>
      <c r="AJ181" s="88" t="s">
        <v>193</v>
      </c>
      <c r="AK181" s="88"/>
      <c r="AL181" s="99" t="s">
        <v>194</v>
      </c>
      <c r="AM181" s="88"/>
      <c r="AN181" s="196"/>
      <c r="AO181" s="195"/>
      <c r="AZ181" s="69"/>
      <c r="BA181" s="69"/>
      <c r="BB181" s="69"/>
      <c r="BC181" s="69"/>
      <c r="BD181" s="69"/>
      <c r="BE181" s="70"/>
      <c r="BF181" s="89"/>
      <c r="BG181" s="69"/>
      <c r="BH181" s="69"/>
      <c r="BI181" s="69"/>
      <c r="BJ181" s="69"/>
      <c r="BK181" s="70"/>
      <c r="BL181" s="89"/>
      <c r="BM181" s="76"/>
      <c r="BN181" s="69"/>
      <c r="BO181" s="69"/>
      <c r="BP181" s="69"/>
      <c r="BQ181" s="113"/>
      <c r="BR181" s="113"/>
      <c r="BS181" s="113"/>
      <c r="BT181" s="76"/>
      <c r="BU181" s="76"/>
      <c r="BV181" s="69"/>
      <c r="BW181" s="69"/>
      <c r="BX181" s="69"/>
      <c r="BY181" s="69"/>
      <c r="BZ181" s="69"/>
      <c r="CA181" s="69"/>
      <c r="CB181" s="69"/>
      <c r="CC181" s="70"/>
      <c r="CD181" s="264"/>
      <c r="CE181" s="69"/>
      <c r="CF181" s="69"/>
      <c r="CG181" s="69"/>
      <c r="CH181" s="69"/>
    </row>
    <row r="182" spans="1:86" x14ac:dyDescent="0.2">
      <c r="A182" s="180"/>
      <c r="B182" s="88"/>
      <c r="C182" s="88"/>
      <c r="D182" s="69"/>
      <c r="E182" s="70" t="s">
        <v>244</v>
      </c>
      <c r="F182" s="41"/>
      <c r="K182" s="70" t="s">
        <v>128</v>
      </c>
      <c r="L182" s="41"/>
      <c r="N182" s="104" t="s">
        <v>254</v>
      </c>
      <c r="S182" s="70" t="s">
        <v>142</v>
      </c>
      <c r="T182" s="276"/>
      <c r="U182" s="277"/>
      <c r="V182" s="88"/>
      <c r="W182" s="96"/>
      <c r="X182" s="97"/>
      <c r="Y182" s="97"/>
      <c r="Z182" s="97"/>
      <c r="AA182" s="97"/>
      <c r="AB182" s="97"/>
      <c r="AC182" s="101" t="s">
        <v>295</v>
      </c>
      <c r="AD182" s="102" t="s">
        <v>98</v>
      </c>
      <c r="AE182" s="88"/>
      <c r="AF182" s="88"/>
      <c r="AG182" s="88"/>
      <c r="AH182" s="88"/>
      <c r="AI182" s="88"/>
      <c r="AJ182" s="88"/>
      <c r="AK182" s="88"/>
      <c r="AL182" s="88"/>
      <c r="AM182" s="88"/>
      <c r="AN182" s="196"/>
      <c r="AO182" s="195"/>
      <c r="AZ182" s="69"/>
      <c r="BA182" s="69"/>
      <c r="BB182" s="69"/>
      <c r="BC182" s="69"/>
      <c r="BD182" s="69"/>
      <c r="BE182" s="70"/>
      <c r="BF182" s="89"/>
      <c r="BG182" s="69"/>
      <c r="BH182" s="69"/>
      <c r="BI182" s="69"/>
      <c r="BJ182" s="69"/>
      <c r="BK182" s="70"/>
      <c r="BL182" s="89"/>
      <c r="BM182" s="69"/>
      <c r="BN182" s="265"/>
      <c r="BO182" s="69"/>
      <c r="BP182" s="69"/>
      <c r="BQ182" s="69"/>
      <c r="BR182" s="69"/>
      <c r="BS182" s="70"/>
      <c r="BT182" s="283"/>
      <c r="BU182" s="284"/>
      <c r="BV182" s="69"/>
      <c r="BW182" s="69"/>
      <c r="BX182" s="69"/>
      <c r="BY182" s="69"/>
      <c r="BZ182" s="69"/>
      <c r="CA182" s="69"/>
      <c r="CB182" s="69"/>
      <c r="CC182" s="70"/>
      <c r="CD182" s="264"/>
      <c r="CE182" s="69"/>
      <c r="CF182" s="69"/>
      <c r="CG182" s="69"/>
      <c r="CH182" s="69"/>
    </row>
    <row r="183" spans="1:86" x14ac:dyDescent="0.2">
      <c r="A183" s="180"/>
      <c r="B183" s="88"/>
      <c r="C183" s="88"/>
      <c r="D183" s="69"/>
      <c r="E183" s="70" t="s">
        <v>256</v>
      </c>
      <c r="F183" s="41"/>
      <c r="K183" s="70" t="s">
        <v>129</v>
      </c>
      <c r="L183" s="41"/>
      <c r="N183" s="105" t="s">
        <v>134</v>
      </c>
      <c r="O183" s="41"/>
      <c r="S183" s="70" t="s">
        <v>143</v>
      </c>
      <c r="T183" s="73"/>
      <c r="U183" s="75"/>
      <c r="V183" s="88"/>
      <c r="W183" s="106"/>
      <c r="X183" s="107"/>
      <c r="Y183" s="107"/>
      <c r="Z183" s="107"/>
      <c r="AA183" s="107"/>
      <c r="AB183" s="107"/>
      <c r="AC183" s="108" t="s">
        <v>296</v>
      </c>
      <c r="AD183" s="109" t="s">
        <v>98</v>
      </c>
      <c r="AE183" s="88"/>
      <c r="AF183" s="88"/>
      <c r="AG183" s="88"/>
      <c r="AH183" s="88"/>
      <c r="AI183" s="88"/>
      <c r="AJ183" s="88"/>
      <c r="AK183" s="88"/>
      <c r="AL183" s="88"/>
      <c r="AM183" s="88"/>
      <c r="AN183" s="196"/>
      <c r="AO183" s="195"/>
      <c r="AZ183" s="69"/>
      <c r="BA183" s="69"/>
      <c r="BB183" s="69"/>
      <c r="BC183" s="69"/>
      <c r="BD183" s="69"/>
      <c r="BE183" s="70"/>
      <c r="BF183" s="89"/>
      <c r="BG183" s="69"/>
      <c r="BH183" s="69"/>
      <c r="BI183" s="69"/>
      <c r="BJ183" s="69"/>
      <c r="BK183" s="70"/>
      <c r="BL183" s="89"/>
      <c r="BM183" s="69"/>
      <c r="BN183" s="70"/>
      <c r="BO183" s="89"/>
      <c r="BP183" s="69"/>
      <c r="BQ183" s="69"/>
      <c r="BR183" s="69"/>
      <c r="BS183" s="70"/>
      <c r="BT183" s="262"/>
      <c r="BU183" s="69"/>
      <c r="BV183" s="69"/>
      <c r="BW183" s="69"/>
      <c r="BX183" s="69"/>
      <c r="BY183" s="69"/>
      <c r="BZ183" s="69"/>
      <c r="CA183" s="69"/>
      <c r="CB183" s="69"/>
      <c r="CC183" s="70"/>
      <c r="CD183" s="264"/>
      <c r="CE183" s="69"/>
      <c r="CF183" s="69"/>
      <c r="CG183" s="69"/>
      <c r="CH183" s="69"/>
    </row>
    <row r="184" spans="1:86" x14ac:dyDescent="0.2">
      <c r="A184" s="180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196"/>
      <c r="AO184" s="195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</row>
    <row r="185" spans="1:86" ht="13.5" thickBot="1" x14ac:dyDescent="0.25">
      <c r="A185" s="180"/>
      <c r="B185" s="88"/>
      <c r="C185" s="70" t="s">
        <v>113</v>
      </c>
      <c r="D185" s="88"/>
      <c r="E185" s="88"/>
      <c r="F185" s="88"/>
      <c r="G185" s="88"/>
      <c r="H185" s="88"/>
      <c r="I185" s="116" t="s">
        <v>130</v>
      </c>
      <c r="J185" s="211"/>
      <c r="K185" s="88"/>
      <c r="L185" s="88"/>
      <c r="M185" s="88"/>
      <c r="N185" s="88"/>
      <c r="O185" s="116" t="s">
        <v>135</v>
      </c>
      <c r="P185" s="211"/>
      <c r="Q185" s="88"/>
      <c r="R185" s="88"/>
      <c r="S185" s="88"/>
      <c r="T185" s="88"/>
      <c r="U185" s="116" t="s">
        <v>13</v>
      </c>
      <c r="V185" s="211"/>
      <c r="W185" s="88"/>
      <c r="X185" s="88"/>
      <c r="Y185" s="88"/>
      <c r="Z185" s="88"/>
      <c r="AA185" s="88"/>
      <c r="AB185" s="88"/>
      <c r="AC185" s="116" t="s">
        <v>182</v>
      </c>
      <c r="AD185" s="81"/>
      <c r="AE185" s="88"/>
      <c r="AF185" s="88"/>
      <c r="AG185" s="88"/>
      <c r="AH185" s="88"/>
      <c r="AI185" s="88"/>
      <c r="AJ185" s="88"/>
      <c r="AK185" s="88"/>
      <c r="AL185" s="88"/>
      <c r="AM185" s="88"/>
      <c r="AN185" s="196"/>
      <c r="AO185" s="195"/>
      <c r="AZ185" s="69"/>
      <c r="BA185" s="69"/>
      <c r="BB185" s="69"/>
      <c r="BC185" s="70"/>
      <c r="BD185" s="69"/>
      <c r="BE185" s="69"/>
      <c r="BF185" s="69"/>
      <c r="BG185" s="69"/>
      <c r="BH185" s="69"/>
      <c r="BI185" s="70"/>
      <c r="BJ185" s="89"/>
      <c r="BK185" s="69"/>
      <c r="BL185" s="69"/>
      <c r="BM185" s="69"/>
      <c r="BN185" s="69"/>
      <c r="BO185" s="70"/>
      <c r="BP185" s="89"/>
      <c r="BQ185" s="69"/>
      <c r="BR185" s="69"/>
      <c r="BS185" s="69"/>
      <c r="BT185" s="69"/>
      <c r="BU185" s="70"/>
      <c r="BV185" s="89"/>
      <c r="BW185" s="69"/>
      <c r="BX185" s="69"/>
      <c r="BY185" s="69"/>
      <c r="BZ185" s="69"/>
      <c r="CA185" s="69"/>
      <c r="CB185" s="69"/>
      <c r="CC185" s="70"/>
      <c r="CD185" s="263"/>
      <c r="CE185" s="69"/>
      <c r="CF185" s="69"/>
      <c r="CG185" s="69"/>
      <c r="CH185" s="69"/>
    </row>
    <row r="186" spans="1:86" x14ac:dyDescent="0.2">
      <c r="A186" s="180"/>
      <c r="B186" s="88"/>
      <c r="C186" s="88"/>
      <c r="D186" s="116" t="s">
        <v>114</v>
      </c>
      <c r="E186" s="212"/>
      <c r="F186" s="88"/>
      <c r="G186" s="88"/>
      <c r="H186" s="88"/>
      <c r="I186" s="88"/>
      <c r="J186" s="138" t="s">
        <v>131</v>
      </c>
      <c r="K186" s="275"/>
      <c r="L186" s="275"/>
      <c r="M186" s="275"/>
      <c r="N186" s="88"/>
      <c r="O186" s="88"/>
      <c r="P186" s="138" t="s">
        <v>131</v>
      </c>
      <c r="Q186" s="275"/>
      <c r="R186" s="275"/>
      <c r="S186" s="275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196"/>
      <c r="AO186" s="195"/>
      <c r="AZ186" s="69"/>
      <c r="BA186" s="69"/>
      <c r="BB186" s="69"/>
      <c r="BC186" s="69"/>
      <c r="BD186" s="70"/>
      <c r="BE186" s="89"/>
      <c r="BF186" s="69"/>
      <c r="BG186" s="69"/>
      <c r="BH186" s="69"/>
      <c r="BI186" s="69"/>
      <c r="BJ186" s="213"/>
      <c r="BK186" s="285"/>
      <c r="BL186" s="285"/>
      <c r="BM186" s="285"/>
      <c r="BN186" s="69"/>
      <c r="BO186" s="69"/>
      <c r="BP186" s="213"/>
      <c r="BQ186" s="285"/>
      <c r="BR186" s="285"/>
      <c r="BS186" s="285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</row>
    <row r="187" spans="1:86" x14ac:dyDescent="0.2">
      <c r="A187" s="180"/>
      <c r="B187" s="211"/>
      <c r="C187" s="88"/>
      <c r="D187" s="113" t="s">
        <v>115</v>
      </c>
      <c r="E187" s="88"/>
      <c r="F187" s="118" t="s">
        <v>116</v>
      </c>
      <c r="G187" s="88"/>
      <c r="H187" s="88"/>
      <c r="I187" s="88"/>
      <c r="J187" s="88"/>
      <c r="K187" s="88"/>
      <c r="L187" s="88"/>
      <c r="M187" s="88"/>
      <c r="N187" s="88"/>
      <c r="O187" s="88"/>
      <c r="P187" s="138" t="s">
        <v>136</v>
      </c>
      <c r="Q187" s="214"/>
      <c r="R187" s="88"/>
      <c r="S187" s="88"/>
      <c r="T187" s="88"/>
      <c r="U187" s="116" t="s">
        <v>145</v>
      </c>
      <c r="V187" s="211"/>
      <c r="W187" s="88"/>
      <c r="X187" s="88"/>
      <c r="Y187" s="88"/>
      <c r="Z187" s="116" t="s">
        <v>148</v>
      </c>
      <c r="AA187" s="211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196"/>
      <c r="AO187" s="195"/>
      <c r="AZ187" s="69"/>
      <c r="BA187" s="69"/>
      <c r="BB187" s="89"/>
      <c r="BC187" s="69"/>
      <c r="BD187" s="113"/>
      <c r="BE187" s="69"/>
      <c r="BF187" s="113"/>
      <c r="BG187" s="69"/>
      <c r="BH187" s="69"/>
      <c r="BI187" s="69"/>
      <c r="BJ187" s="69"/>
      <c r="BK187" s="69"/>
      <c r="BL187" s="69"/>
      <c r="BM187" s="69"/>
      <c r="BN187" s="69"/>
      <c r="BO187" s="69"/>
      <c r="BP187" s="213"/>
      <c r="BQ187" s="89"/>
      <c r="BR187" s="69"/>
      <c r="BS187" s="69"/>
      <c r="BT187" s="69"/>
      <c r="BU187" s="70"/>
      <c r="BV187" s="89"/>
      <c r="BW187" s="69"/>
      <c r="BX187" s="69"/>
      <c r="BY187" s="69"/>
      <c r="BZ187" s="70"/>
      <c r="CA187" s="89"/>
      <c r="CB187" s="69"/>
      <c r="CC187" s="69"/>
      <c r="CD187" s="69"/>
      <c r="CE187" s="69"/>
      <c r="CF187" s="69"/>
      <c r="CG187" s="69"/>
      <c r="CH187" s="69"/>
    </row>
    <row r="188" spans="1:86" x14ac:dyDescent="0.2">
      <c r="A188" s="180"/>
      <c r="B188" s="88"/>
      <c r="C188" s="88"/>
      <c r="D188" s="211"/>
      <c r="E188" s="88"/>
      <c r="F188" s="211"/>
      <c r="G188" s="88"/>
      <c r="H188" s="88"/>
      <c r="I188" s="116" t="s">
        <v>22</v>
      </c>
      <c r="J188" s="211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196"/>
      <c r="AO188" s="195"/>
      <c r="AZ188" s="69"/>
      <c r="BA188" s="69"/>
      <c r="BB188" s="69"/>
      <c r="BC188" s="69"/>
      <c r="BD188" s="89"/>
      <c r="BE188" s="69"/>
      <c r="BF188" s="89"/>
      <c r="BG188" s="69"/>
      <c r="BH188" s="69"/>
      <c r="BI188" s="70"/>
      <c r="BJ188" s="8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</row>
    <row r="189" spans="1:86" x14ac:dyDescent="0.2">
      <c r="A189" s="180"/>
      <c r="B189" s="88"/>
      <c r="C189" s="88"/>
      <c r="D189" s="138" t="s">
        <v>118</v>
      </c>
      <c r="E189" s="275"/>
      <c r="F189" s="275"/>
      <c r="G189" s="275"/>
      <c r="H189" s="88"/>
      <c r="I189" s="88"/>
      <c r="J189" s="138" t="s">
        <v>131</v>
      </c>
      <c r="K189" s="275" t="s">
        <v>80</v>
      </c>
      <c r="L189" s="275"/>
      <c r="M189" s="275"/>
      <c r="N189" s="88"/>
      <c r="O189" s="116" t="s">
        <v>137</v>
      </c>
      <c r="P189" s="211"/>
      <c r="Q189" s="88"/>
      <c r="R189" s="88"/>
      <c r="S189" s="88"/>
      <c r="T189" s="88"/>
      <c r="U189" s="116" t="s">
        <v>146</v>
      </c>
      <c r="V189" s="211"/>
      <c r="W189" s="88"/>
      <c r="X189" s="88"/>
      <c r="Y189" s="88"/>
      <c r="Z189" s="116" t="s">
        <v>149</v>
      </c>
      <c r="AA189" s="212"/>
      <c r="AB189" s="88" t="s">
        <v>183</v>
      </c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196"/>
      <c r="AO189" s="195"/>
      <c r="AZ189" s="69"/>
      <c r="BA189" s="69"/>
      <c r="BB189" s="69"/>
      <c r="BC189" s="69"/>
      <c r="BD189" s="213"/>
      <c r="BE189" s="285"/>
      <c r="BF189" s="285"/>
      <c r="BG189" s="285"/>
      <c r="BH189" s="69"/>
      <c r="BI189" s="69"/>
      <c r="BJ189" s="213"/>
      <c r="BK189" s="285"/>
      <c r="BL189" s="285"/>
      <c r="BM189" s="285"/>
      <c r="BN189" s="69"/>
      <c r="BO189" s="70"/>
      <c r="BP189" s="89"/>
      <c r="BQ189" s="69"/>
      <c r="BR189" s="69"/>
      <c r="BS189" s="69"/>
      <c r="BT189" s="69"/>
      <c r="BU189" s="70"/>
      <c r="BV189" s="89"/>
      <c r="BW189" s="69"/>
      <c r="BX189" s="69"/>
      <c r="BY189" s="69"/>
      <c r="BZ189" s="70"/>
      <c r="CA189" s="89"/>
      <c r="CB189" s="69"/>
      <c r="CC189" s="69"/>
      <c r="CD189" s="69"/>
      <c r="CE189" s="69"/>
      <c r="CF189" s="69"/>
      <c r="CG189" s="69"/>
      <c r="CH189" s="69"/>
    </row>
    <row r="190" spans="1:86" x14ac:dyDescent="0.2">
      <c r="A190" s="180"/>
      <c r="B190" s="88"/>
      <c r="C190" s="88"/>
      <c r="D190" s="70" t="s">
        <v>117</v>
      </c>
      <c r="E190" s="211"/>
      <c r="F190" s="215"/>
      <c r="G190" s="88"/>
      <c r="H190" s="88"/>
      <c r="I190" s="88"/>
      <c r="J190" s="88"/>
      <c r="K190" s="138" t="s">
        <v>81</v>
      </c>
      <c r="L190" s="211"/>
      <c r="M190" s="88"/>
      <c r="N190" s="88"/>
      <c r="O190" s="88"/>
      <c r="P190" s="138" t="s">
        <v>131</v>
      </c>
      <c r="Q190" s="275" t="s">
        <v>84</v>
      </c>
      <c r="R190" s="275"/>
      <c r="S190" s="275"/>
      <c r="T190" s="88"/>
      <c r="U190" s="88"/>
      <c r="V190" s="88"/>
      <c r="W190" s="88"/>
      <c r="X190" s="88"/>
      <c r="Y190" s="88"/>
      <c r="Z190" s="138" t="s">
        <v>150</v>
      </c>
      <c r="AA190" s="211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196"/>
      <c r="AO190" s="195"/>
      <c r="AZ190" s="69"/>
      <c r="BA190" s="69"/>
      <c r="BB190" s="69"/>
      <c r="BC190" s="69"/>
      <c r="BD190" s="70"/>
      <c r="BE190" s="89"/>
      <c r="BF190" s="197"/>
      <c r="BG190" s="69"/>
      <c r="BH190" s="69"/>
      <c r="BI190" s="69"/>
      <c r="BJ190" s="69"/>
      <c r="BK190" s="213"/>
      <c r="BL190" s="89"/>
      <c r="BM190" s="69"/>
      <c r="BN190" s="69"/>
      <c r="BO190" s="69"/>
      <c r="BP190" s="213"/>
      <c r="BQ190" s="285"/>
      <c r="BR190" s="285"/>
      <c r="BS190" s="285"/>
      <c r="BT190" s="69"/>
      <c r="BU190" s="69"/>
      <c r="BV190" s="69"/>
      <c r="BW190" s="69"/>
      <c r="BX190" s="69"/>
      <c r="BY190" s="69"/>
      <c r="BZ190" s="213"/>
      <c r="CA190" s="89"/>
      <c r="CB190" s="69"/>
      <c r="CC190" s="69"/>
      <c r="CD190" s="69"/>
      <c r="CE190" s="69"/>
      <c r="CF190" s="69"/>
      <c r="CG190" s="69"/>
      <c r="CH190" s="69"/>
    </row>
    <row r="191" spans="1:86" x14ac:dyDescent="0.2">
      <c r="A191" s="180"/>
      <c r="B191" s="88"/>
      <c r="C191" s="88"/>
      <c r="D191" s="138" t="s">
        <v>119</v>
      </c>
      <c r="E191" s="275"/>
      <c r="F191" s="275"/>
      <c r="G191" s="275"/>
      <c r="H191" s="88"/>
      <c r="I191" s="88"/>
      <c r="J191" s="88"/>
      <c r="K191" s="138" t="s">
        <v>132</v>
      </c>
      <c r="L191" s="211"/>
      <c r="M191" s="99" t="s">
        <v>226</v>
      </c>
      <c r="N191" s="88"/>
      <c r="O191" s="88"/>
      <c r="P191" s="138" t="s">
        <v>136</v>
      </c>
      <c r="Q191" s="214"/>
      <c r="R191" s="88"/>
      <c r="S191" s="88"/>
      <c r="T191" s="88"/>
      <c r="U191" s="116" t="s">
        <v>147</v>
      </c>
      <c r="V191" s="211"/>
      <c r="W191" s="88"/>
      <c r="X191" s="88"/>
      <c r="Y191" s="88"/>
      <c r="Z191" s="213" t="s">
        <v>151</v>
      </c>
      <c r="AA191" s="211"/>
      <c r="AB191" s="88" t="s">
        <v>152</v>
      </c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196"/>
      <c r="AO191" s="195"/>
      <c r="AZ191" s="69"/>
      <c r="BA191" s="69"/>
      <c r="BB191" s="69"/>
      <c r="BC191" s="69"/>
      <c r="BD191" s="213"/>
      <c r="BE191" s="285"/>
      <c r="BF191" s="285"/>
      <c r="BG191" s="285"/>
      <c r="BH191" s="69"/>
      <c r="BI191" s="69"/>
      <c r="BJ191" s="69"/>
      <c r="BK191" s="213"/>
      <c r="BL191" s="89"/>
      <c r="BM191" s="76"/>
      <c r="BN191" s="69"/>
      <c r="BO191" s="69"/>
      <c r="BP191" s="213"/>
      <c r="BQ191" s="89"/>
      <c r="BR191" s="69"/>
      <c r="BS191" s="69"/>
      <c r="BT191" s="69"/>
      <c r="BU191" s="70"/>
      <c r="BV191" s="89"/>
      <c r="BW191" s="69"/>
      <c r="BX191" s="69"/>
      <c r="BY191" s="69"/>
      <c r="BZ191" s="213"/>
      <c r="CA191" s="89"/>
      <c r="CB191" s="69"/>
      <c r="CC191" s="69"/>
      <c r="CD191" s="69"/>
      <c r="CE191" s="69"/>
      <c r="CF191" s="69"/>
      <c r="CG191" s="69"/>
      <c r="CH191" s="69"/>
    </row>
    <row r="192" spans="1:86" x14ac:dyDescent="0.2">
      <c r="A192" s="180"/>
      <c r="B192" s="115"/>
      <c r="C192" s="116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196"/>
      <c r="AO192" s="195"/>
      <c r="AZ192" s="69"/>
      <c r="BA192" s="69"/>
      <c r="BB192" s="254"/>
      <c r="BC192" s="70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</row>
    <row r="193" spans="1:86" x14ac:dyDescent="0.2">
      <c r="A193" s="180"/>
      <c r="B193" s="118"/>
      <c r="C193" s="88"/>
      <c r="D193" s="88"/>
      <c r="E193" s="88"/>
      <c r="F193" s="119" t="s">
        <v>153</v>
      </c>
      <c r="G193" s="88"/>
      <c r="H193" s="88"/>
      <c r="I193" s="88"/>
      <c r="J193" s="88"/>
      <c r="K193" s="88"/>
      <c r="L193" s="88"/>
      <c r="M193" s="119" t="s">
        <v>236</v>
      </c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196"/>
      <c r="AO193" s="195"/>
      <c r="AZ193" s="69"/>
      <c r="BA193" s="69"/>
      <c r="BB193" s="113"/>
      <c r="BC193" s="69"/>
      <c r="BD193" s="69"/>
      <c r="BE193" s="69"/>
      <c r="BF193" s="266"/>
      <c r="BG193" s="69"/>
      <c r="BH193" s="69"/>
      <c r="BI193" s="69"/>
      <c r="BJ193" s="69"/>
      <c r="BK193" s="69"/>
      <c r="BL193" s="69"/>
      <c r="BM193" s="266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</row>
    <row r="194" spans="1:86" ht="65.25" x14ac:dyDescent="0.2">
      <c r="A194" s="180"/>
      <c r="B194" s="216" t="s">
        <v>154</v>
      </c>
      <c r="C194" s="216" t="s">
        <v>232</v>
      </c>
      <c r="D194" s="217" t="s">
        <v>38</v>
      </c>
      <c r="E194" s="216" t="s">
        <v>233</v>
      </c>
      <c r="F194" s="216" t="s">
        <v>234</v>
      </c>
      <c r="G194" s="216"/>
      <c r="H194" s="218" t="s">
        <v>288</v>
      </c>
      <c r="I194" s="219" t="s">
        <v>289</v>
      </c>
      <c r="J194" s="218" t="s">
        <v>155</v>
      </c>
      <c r="K194" s="219" t="s">
        <v>156</v>
      </c>
      <c r="L194" s="218" t="s">
        <v>157</v>
      </c>
      <c r="M194" s="219" t="s">
        <v>158</v>
      </c>
      <c r="N194" s="219" t="s">
        <v>159</v>
      </c>
      <c r="O194" s="219" t="s">
        <v>160</v>
      </c>
      <c r="P194" s="219" t="s">
        <v>161</v>
      </c>
      <c r="Q194" s="219" t="s">
        <v>162</v>
      </c>
      <c r="R194" s="219" t="s">
        <v>163</v>
      </c>
      <c r="S194" s="219" t="s">
        <v>164</v>
      </c>
      <c r="T194" s="219" t="s">
        <v>165</v>
      </c>
      <c r="U194" s="218" t="s">
        <v>166</v>
      </c>
      <c r="V194" s="219" t="s">
        <v>167</v>
      </c>
      <c r="W194" s="219" t="s">
        <v>168</v>
      </c>
      <c r="X194" s="219" t="s">
        <v>169</v>
      </c>
      <c r="Y194" s="219" t="s">
        <v>170</v>
      </c>
      <c r="Z194" s="218" t="s">
        <v>171</v>
      </c>
      <c r="AA194" s="219" t="s">
        <v>172</v>
      </c>
      <c r="AB194" s="219" t="s">
        <v>184</v>
      </c>
      <c r="AC194" s="218" t="s">
        <v>173</v>
      </c>
      <c r="AD194" s="220" t="s">
        <v>235</v>
      </c>
      <c r="AE194" s="88"/>
      <c r="AF194" s="88"/>
      <c r="AG194" s="88"/>
      <c r="AH194" s="88"/>
      <c r="AI194" s="88"/>
      <c r="AJ194" s="88"/>
      <c r="AK194" s="88"/>
      <c r="AL194" s="88"/>
      <c r="AM194" s="88"/>
      <c r="AN194" s="196"/>
      <c r="AO194" s="195"/>
      <c r="AZ194" s="69"/>
      <c r="BA194" s="69"/>
      <c r="BB194" s="267"/>
      <c r="BC194" s="267"/>
      <c r="BD194" s="268"/>
      <c r="BE194" s="267"/>
      <c r="BF194" s="267"/>
      <c r="BG194" s="267"/>
      <c r="BH194" s="267"/>
      <c r="BI194" s="267"/>
      <c r="BJ194" s="267"/>
      <c r="BK194" s="267"/>
      <c r="BL194" s="267"/>
      <c r="BM194" s="267"/>
      <c r="BN194" s="267"/>
      <c r="BO194" s="267"/>
      <c r="BP194" s="267"/>
      <c r="BQ194" s="267"/>
      <c r="BR194" s="267"/>
      <c r="BS194" s="267"/>
      <c r="BT194" s="267"/>
      <c r="BU194" s="267"/>
      <c r="BV194" s="267"/>
      <c r="BW194" s="267"/>
      <c r="BX194" s="267"/>
      <c r="BY194" s="267"/>
      <c r="BZ194" s="267"/>
      <c r="CA194" s="267"/>
      <c r="CB194" s="267"/>
      <c r="CC194" s="267"/>
      <c r="CD194" s="269"/>
      <c r="CE194" s="69"/>
      <c r="CF194" s="69"/>
      <c r="CG194" s="69"/>
      <c r="CH194" s="69"/>
    </row>
    <row r="195" spans="1:86" x14ac:dyDescent="0.2">
      <c r="A195" s="180"/>
      <c r="B195" s="119"/>
      <c r="C195" s="119"/>
      <c r="D195" s="119"/>
      <c r="E195" s="88"/>
      <c r="F195" s="88"/>
      <c r="G195" s="88"/>
      <c r="H195" s="119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115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196"/>
      <c r="AO195" s="195"/>
      <c r="AZ195" s="69"/>
      <c r="BA195" s="69"/>
      <c r="BB195" s="266"/>
      <c r="BC195" s="266"/>
      <c r="BD195" s="266"/>
      <c r="BE195" s="69"/>
      <c r="BF195" s="69"/>
      <c r="BG195" s="69"/>
      <c r="BH195" s="266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254"/>
      <c r="CC195" s="69"/>
      <c r="CD195" s="69"/>
      <c r="CE195" s="69"/>
      <c r="CF195" s="69"/>
      <c r="CG195" s="69"/>
      <c r="CH195" s="69"/>
    </row>
    <row r="196" spans="1:86" x14ac:dyDescent="0.2">
      <c r="A196" s="180"/>
      <c r="B196" s="119">
        <v>19</v>
      </c>
      <c r="C196" s="214"/>
      <c r="D196" s="127"/>
      <c r="E196" s="136"/>
      <c r="F196" s="127"/>
      <c r="G196" s="127"/>
      <c r="H196" s="221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3"/>
      <c r="Y196" s="214"/>
      <c r="Z196" s="214"/>
      <c r="AA196" s="214"/>
      <c r="AB196" s="214"/>
      <c r="AC196" s="214"/>
      <c r="AD196" s="136" t="s">
        <v>98</v>
      </c>
      <c r="AE196" s="88"/>
      <c r="AF196" s="88"/>
      <c r="AG196" s="88"/>
      <c r="AH196" s="88"/>
      <c r="AI196" s="88"/>
      <c r="AJ196" s="88"/>
      <c r="AK196" s="88"/>
      <c r="AL196" s="88"/>
      <c r="AM196" s="88"/>
      <c r="AN196" s="196"/>
      <c r="AO196" s="195"/>
      <c r="AZ196" s="69"/>
      <c r="BA196" s="69"/>
      <c r="BB196" s="266"/>
      <c r="BC196" s="89"/>
      <c r="BD196" s="257"/>
      <c r="BE196" s="255"/>
      <c r="BF196" s="257"/>
      <c r="BG196" s="257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255"/>
      <c r="CE196" s="69"/>
      <c r="CF196" s="69"/>
      <c r="CG196" s="69"/>
      <c r="CH196" s="69"/>
    </row>
    <row r="197" spans="1:86" x14ac:dyDescent="0.2">
      <c r="A197" s="180"/>
      <c r="B197" s="119">
        <v>18</v>
      </c>
      <c r="C197" s="214"/>
      <c r="D197" s="127"/>
      <c r="E197" s="136"/>
      <c r="F197" s="127"/>
      <c r="G197" s="127"/>
      <c r="H197" s="224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6"/>
      <c r="Y197" s="214"/>
      <c r="Z197" s="214"/>
      <c r="AA197" s="214"/>
      <c r="AB197" s="214"/>
      <c r="AC197" s="214"/>
      <c r="AD197" s="136" t="s">
        <v>98</v>
      </c>
      <c r="AE197" s="88"/>
      <c r="AF197" s="88"/>
      <c r="AG197" s="88"/>
      <c r="AH197" s="88"/>
      <c r="AI197" s="88"/>
      <c r="AJ197" s="88"/>
      <c r="AK197" s="88"/>
      <c r="AL197" s="88"/>
      <c r="AM197" s="88"/>
      <c r="AN197" s="196"/>
      <c r="AO197" s="195"/>
      <c r="AZ197" s="69"/>
      <c r="BA197" s="69"/>
      <c r="BB197" s="266"/>
      <c r="BC197" s="89"/>
      <c r="BD197" s="257"/>
      <c r="BE197" s="255"/>
      <c r="BF197" s="257"/>
      <c r="BG197" s="257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  <c r="BT197" s="89"/>
      <c r="BU197" s="89"/>
      <c r="BV197" s="89"/>
      <c r="BW197" s="89"/>
      <c r="BX197" s="89"/>
      <c r="BY197" s="89"/>
      <c r="BZ197" s="89"/>
      <c r="CA197" s="89"/>
      <c r="CB197" s="89"/>
      <c r="CC197" s="89"/>
      <c r="CD197" s="255"/>
      <c r="CE197" s="69"/>
      <c r="CF197" s="69"/>
      <c r="CG197" s="69"/>
      <c r="CH197" s="69"/>
    </row>
    <row r="198" spans="1:86" x14ac:dyDescent="0.2">
      <c r="A198" s="180"/>
      <c r="B198" s="119">
        <v>17</v>
      </c>
      <c r="C198" s="214"/>
      <c r="D198" s="127"/>
      <c r="E198" s="136"/>
      <c r="F198" s="127"/>
      <c r="G198" s="127"/>
      <c r="H198" s="224"/>
      <c r="I198" s="225"/>
      <c r="J198" s="225"/>
      <c r="K198" s="225"/>
      <c r="L198" s="225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6"/>
      <c r="Y198" s="214"/>
      <c r="Z198" s="214"/>
      <c r="AA198" s="214"/>
      <c r="AB198" s="214"/>
      <c r="AC198" s="214"/>
      <c r="AD198" s="136" t="s">
        <v>98</v>
      </c>
      <c r="AE198" s="88"/>
      <c r="AF198" s="88"/>
      <c r="AG198" s="88"/>
      <c r="AH198" s="88"/>
      <c r="AI198" s="88"/>
      <c r="AJ198" s="88"/>
      <c r="AK198" s="88"/>
      <c r="AL198" s="88"/>
      <c r="AM198" s="88"/>
      <c r="AN198" s="196"/>
      <c r="AO198" s="195"/>
      <c r="AZ198" s="69"/>
      <c r="BA198" s="69"/>
      <c r="BB198" s="266"/>
      <c r="BC198" s="89"/>
      <c r="BD198" s="257"/>
      <c r="BE198" s="255"/>
      <c r="BF198" s="257"/>
      <c r="BG198" s="257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  <c r="BT198" s="89"/>
      <c r="BU198" s="89"/>
      <c r="BV198" s="89"/>
      <c r="BW198" s="89"/>
      <c r="BX198" s="89"/>
      <c r="BY198" s="89"/>
      <c r="BZ198" s="89"/>
      <c r="CA198" s="89"/>
      <c r="CB198" s="89"/>
      <c r="CC198" s="89"/>
      <c r="CD198" s="255"/>
      <c r="CE198" s="69"/>
      <c r="CF198" s="69"/>
      <c r="CG198" s="69"/>
      <c r="CH198" s="69"/>
    </row>
    <row r="199" spans="1:86" x14ac:dyDescent="0.2">
      <c r="A199" s="180"/>
      <c r="B199" s="119">
        <v>16</v>
      </c>
      <c r="C199" s="214"/>
      <c r="D199" s="127"/>
      <c r="E199" s="136"/>
      <c r="F199" s="127"/>
      <c r="G199" s="127"/>
      <c r="H199" s="227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9"/>
      <c r="Y199" s="134"/>
      <c r="Z199" s="134"/>
      <c r="AA199" s="134"/>
      <c r="AB199" s="134"/>
      <c r="AC199" s="134"/>
      <c r="AD199" s="136"/>
      <c r="AE199" s="88"/>
      <c r="AF199" s="88"/>
      <c r="AG199" s="88"/>
      <c r="AH199" s="88"/>
      <c r="AI199" s="88"/>
      <c r="AJ199" s="88"/>
      <c r="AK199" s="88"/>
      <c r="AL199" s="88"/>
      <c r="AM199" s="88"/>
      <c r="AN199" s="196"/>
      <c r="AO199" s="195"/>
      <c r="AZ199" s="69"/>
      <c r="BA199" s="69"/>
      <c r="BB199" s="266"/>
      <c r="BC199" s="89"/>
      <c r="BD199" s="257"/>
      <c r="BE199" s="255"/>
      <c r="BF199" s="257"/>
      <c r="BG199" s="257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  <c r="BT199" s="89"/>
      <c r="BU199" s="89"/>
      <c r="BV199" s="89"/>
      <c r="BW199" s="89"/>
      <c r="BX199" s="89"/>
      <c r="BY199" s="89"/>
      <c r="BZ199" s="89"/>
      <c r="CA199" s="89"/>
      <c r="CB199" s="89"/>
      <c r="CC199" s="89"/>
      <c r="CD199" s="255"/>
      <c r="CE199" s="69"/>
      <c r="CF199" s="69"/>
      <c r="CG199" s="69"/>
      <c r="CH199" s="69"/>
    </row>
    <row r="200" spans="1:86" x14ac:dyDescent="0.2">
      <c r="A200" s="180"/>
      <c r="B200" s="119">
        <v>15</v>
      </c>
      <c r="C200" s="214"/>
      <c r="D200" s="127"/>
      <c r="E200" s="136"/>
      <c r="F200" s="127"/>
      <c r="G200" s="127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136"/>
      <c r="AE200" s="88"/>
      <c r="AF200" s="88"/>
      <c r="AG200" s="88"/>
      <c r="AH200" s="88"/>
      <c r="AI200" s="88"/>
      <c r="AJ200" s="88"/>
      <c r="AK200" s="88"/>
      <c r="AL200" s="88"/>
      <c r="AM200" s="88"/>
      <c r="AN200" s="196"/>
      <c r="AO200" s="195"/>
      <c r="AZ200" s="69"/>
      <c r="BA200" s="69"/>
      <c r="BB200" s="266"/>
      <c r="BC200" s="89"/>
      <c r="BD200" s="257"/>
      <c r="BE200" s="255"/>
      <c r="BF200" s="257"/>
      <c r="BG200" s="257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255"/>
      <c r="CE200" s="69"/>
      <c r="CF200" s="69"/>
      <c r="CG200" s="69"/>
      <c r="CH200" s="69"/>
    </row>
    <row r="201" spans="1:86" x14ac:dyDescent="0.2">
      <c r="A201" s="180"/>
      <c r="B201" s="119" t="s">
        <v>63</v>
      </c>
      <c r="C201" s="214"/>
      <c r="D201" s="127"/>
      <c r="E201" s="136"/>
      <c r="F201" s="127"/>
      <c r="G201" s="127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134"/>
      <c r="AD201" s="136"/>
      <c r="AE201" s="88"/>
      <c r="AF201" s="88"/>
      <c r="AG201" s="88"/>
      <c r="AH201" s="88"/>
      <c r="AI201" s="88"/>
      <c r="AJ201" s="88"/>
      <c r="AK201" s="88"/>
      <c r="AL201" s="88"/>
      <c r="AM201" s="88"/>
      <c r="AN201" s="196"/>
      <c r="AO201" s="195"/>
      <c r="AZ201" s="69"/>
      <c r="BA201" s="69"/>
      <c r="BB201" s="266"/>
      <c r="BC201" s="89"/>
      <c r="BD201" s="257"/>
      <c r="BE201" s="255"/>
      <c r="BF201" s="257"/>
      <c r="BG201" s="257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255"/>
      <c r="CE201" s="69"/>
      <c r="CF201" s="69"/>
      <c r="CG201" s="69"/>
      <c r="CH201" s="69"/>
    </row>
    <row r="202" spans="1:86" x14ac:dyDescent="0.2">
      <c r="A202" s="180"/>
      <c r="B202" s="138" t="s">
        <v>176</v>
      </c>
      <c r="C202" s="119"/>
      <c r="D202" s="127"/>
      <c r="E202" s="127"/>
      <c r="F202" s="127"/>
      <c r="G202" s="138" t="s">
        <v>175</v>
      </c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231" t="s">
        <v>174</v>
      </c>
      <c r="AE202" s="88"/>
      <c r="AF202" s="88"/>
      <c r="AG202" s="88"/>
      <c r="AH202" s="88"/>
      <c r="AI202" s="88"/>
      <c r="AJ202" s="88"/>
      <c r="AK202" s="88"/>
      <c r="AL202" s="88"/>
      <c r="AM202" s="88"/>
      <c r="AN202" s="196"/>
      <c r="AO202" s="195"/>
      <c r="AZ202" s="69"/>
      <c r="BA202" s="69"/>
      <c r="BB202" s="213"/>
      <c r="BC202" s="266"/>
      <c r="BD202" s="257"/>
      <c r="BE202" s="257"/>
      <c r="BF202" s="257"/>
      <c r="BG202" s="213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270"/>
      <c r="CE202" s="69"/>
      <c r="CF202" s="69"/>
      <c r="CG202" s="69"/>
      <c r="CH202" s="69"/>
    </row>
    <row r="203" spans="1:86" x14ac:dyDescent="0.2">
      <c r="A203" s="187"/>
      <c r="B203" s="245"/>
      <c r="C203" s="246" t="s">
        <v>177</v>
      </c>
      <c r="D203" s="188"/>
      <c r="E203" s="188"/>
      <c r="F203" s="188"/>
      <c r="G203" s="247" t="s">
        <v>175</v>
      </c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172" t="s">
        <v>174</v>
      </c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249"/>
      <c r="AO203" s="250"/>
      <c r="AZ203" s="69"/>
      <c r="BA203" s="69"/>
      <c r="BB203" s="257"/>
      <c r="BC203" s="254"/>
      <c r="BD203" s="69"/>
      <c r="BE203" s="69"/>
      <c r="BF203" s="69"/>
      <c r="BG203" s="213"/>
      <c r="BH203" s="253"/>
      <c r="BI203" s="253"/>
      <c r="BJ203" s="253"/>
      <c r="BK203" s="253"/>
      <c r="BL203" s="253"/>
      <c r="BM203" s="253"/>
      <c r="BN203" s="253"/>
      <c r="BO203" s="253"/>
      <c r="BP203" s="253"/>
      <c r="BQ203" s="253"/>
      <c r="BR203" s="253"/>
      <c r="BS203" s="253"/>
      <c r="BT203" s="253"/>
      <c r="BU203" s="253"/>
      <c r="BV203" s="253"/>
      <c r="BW203" s="253"/>
      <c r="BX203" s="253"/>
      <c r="BY203" s="253"/>
      <c r="BZ203" s="253"/>
      <c r="CA203" s="253"/>
      <c r="CB203" s="253"/>
      <c r="CC203" s="253"/>
      <c r="CD203" s="69"/>
      <c r="CE203" s="69"/>
      <c r="CF203" s="69"/>
      <c r="CG203" s="69"/>
      <c r="CH203" s="69"/>
    </row>
    <row r="204" spans="1:86" x14ac:dyDescent="0.2"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</row>
    <row r="205" spans="1:86" x14ac:dyDescent="0.2"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</row>
    <row r="206" spans="1:86" x14ac:dyDescent="0.2"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</row>
    <row r="207" spans="1:86" x14ac:dyDescent="0.2"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</row>
    <row r="208" spans="1:86" x14ac:dyDescent="0.2"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</row>
    <row r="209" spans="52:86" x14ac:dyDescent="0.2"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</row>
    <row r="210" spans="52:86" x14ac:dyDescent="0.2"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</row>
    <row r="211" spans="52:86" x14ac:dyDescent="0.2"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</row>
    <row r="212" spans="52:86" x14ac:dyDescent="0.2"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</row>
    <row r="213" spans="52:86" x14ac:dyDescent="0.2"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</row>
    <row r="214" spans="52:86" x14ac:dyDescent="0.2"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</row>
    <row r="215" spans="52:86" x14ac:dyDescent="0.2"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</row>
    <row r="216" spans="52:86" x14ac:dyDescent="0.2"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</row>
    <row r="217" spans="52:86" x14ac:dyDescent="0.2"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</row>
    <row r="218" spans="52:86" x14ac:dyDescent="0.2"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</row>
    <row r="219" spans="52:86" x14ac:dyDescent="0.2"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</row>
    <row r="220" spans="52:86" x14ac:dyDescent="0.2"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</row>
    <row r="221" spans="52:86" x14ac:dyDescent="0.2"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</row>
    <row r="222" spans="52:86" x14ac:dyDescent="0.2"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</row>
    <row r="223" spans="52:86" x14ac:dyDescent="0.2"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</row>
    <row r="224" spans="52:86" x14ac:dyDescent="0.2"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</row>
    <row r="225" spans="52:86" x14ac:dyDescent="0.2"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</row>
    <row r="226" spans="52:86" x14ac:dyDescent="0.2"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</row>
    <row r="227" spans="52:86" x14ac:dyDescent="0.2"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</row>
    <row r="228" spans="52:86" x14ac:dyDescent="0.2"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</row>
    <row r="229" spans="52:86" x14ac:dyDescent="0.2"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</row>
    <row r="230" spans="52:86" x14ac:dyDescent="0.2"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</row>
    <row r="231" spans="52:86" x14ac:dyDescent="0.2"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</row>
    <row r="232" spans="52:86" x14ac:dyDescent="0.2"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</row>
    <row r="233" spans="52:86" x14ac:dyDescent="0.2"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</row>
    <row r="234" spans="52:86" x14ac:dyDescent="0.2"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</row>
    <row r="235" spans="52:86" x14ac:dyDescent="0.2"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</row>
    <row r="236" spans="52:86" x14ac:dyDescent="0.2"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</row>
    <row r="237" spans="52:86" x14ac:dyDescent="0.2"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</row>
    <row r="238" spans="52:86" x14ac:dyDescent="0.2"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</row>
    <row r="239" spans="52:86" x14ac:dyDescent="0.2"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</row>
    <row r="240" spans="52:86" x14ac:dyDescent="0.2"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</row>
    <row r="241" spans="52:86" x14ac:dyDescent="0.2"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</row>
    <row r="242" spans="52:86" x14ac:dyDescent="0.2"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</row>
    <row r="243" spans="52:86" x14ac:dyDescent="0.2"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</row>
    <row r="244" spans="52:86" x14ac:dyDescent="0.2"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</row>
    <row r="245" spans="52:86" x14ac:dyDescent="0.2"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</row>
    <row r="246" spans="52:86" x14ac:dyDescent="0.2"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</row>
    <row r="247" spans="52:86" x14ac:dyDescent="0.2"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</row>
    <row r="248" spans="52:86" x14ac:dyDescent="0.2"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</row>
    <row r="249" spans="52:86" x14ac:dyDescent="0.2"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</row>
    <row r="250" spans="52:86" x14ac:dyDescent="0.2"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</row>
    <row r="251" spans="52:86" x14ac:dyDescent="0.2"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</row>
    <row r="252" spans="52:86" x14ac:dyDescent="0.2"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</row>
    <row r="253" spans="52:86" x14ac:dyDescent="0.2"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</row>
    <row r="254" spans="52:86" x14ac:dyDescent="0.2"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</row>
    <row r="255" spans="52:86" x14ac:dyDescent="0.2"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</row>
    <row r="256" spans="52:86" x14ac:dyDescent="0.2"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</row>
    <row r="257" spans="52:86" x14ac:dyDescent="0.2"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</row>
    <row r="258" spans="52:86" x14ac:dyDescent="0.2"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</row>
    <row r="259" spans="52:86" x14ac:dyDescent="0.2"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</row>
    <row r="260" spans="52:86" x14ac:dyDescent="0.2"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</row>
    <row r="261" spans="52:86" x14ac:dyDescent="0.2"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</row>
    <row r="262" spans="52:86" x14ac:dyDescent="0.2"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</row>
    <row r="263" spans="52:86" x14ac:dyDescent="0.2"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</row>
    <row r="264" spans="52:86" x14ac:dyDescent="0.2"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</row>
    <row r="265" spans="52:86" x14ac:dyDescent="0.2"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</row>
    <row r="266" spans="52:86" x14ac:dyDescent="0.2"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</row>
    <row r="267" spans="52:86" x14ac:dyDescent="0.2"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</row>
    <row r="268" spans="52:86" x14ac:dyDescent="0.2"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</row>
    <row r="269" spans="52:86" x14ac:dyDescent="0.2"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</row>
    <row r="270" spans="52:86" x14ac:dyDescent="0.2"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</row>
    <row r="271" spans="52:86" x14ac:dyDescent="0.2"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</row>
    <row r="272" spans="52:86" x14ac:dyDescent="0.2"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</row>
    <row r="273" spans="52:86" x14ac:dyDescent="0.2"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</row>
    <row r="274" spans="52:86" x14ac:dyDescent="0.2"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</row>
    <row r="275" spans="52:86" x14ac:dyDescent="0.2"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</row>
    <row r="276" spans="52:86" x14ac:dyDescent="0.2"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</row>
    <row r="277" spans="52:86" x14ac:dyDescent="0.2"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</row>
    <row r="278" spans="52:86" x14ac:dyDescent="0.2"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</row>
    <row r="279" spans="52:86" x14ac:dyDescent="0.2"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</row>
    <row r="280" spans="52:86" x14ac:dyDescent="0.2"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</row>
    <row r="281" spans="52:86" x14ac:dyDescent="0.2"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</row>
    <row r="282" spans="52:86" x14ac:dyDescent="0.2"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</row>
    <row r="283" spans="52:86" x14ac:dyDescent="0.2"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</row>
    <row r="284" spans="52:86" x14ac:dyDescent="0.2"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</row>
    <row r="285" spans="52:86" x14ac:dyDescent="0.2"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</row>
    <row r="286" spans="52:86" x14ac:dyDescent="0.2"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</row>
    <row r="287" spans="52:86" x14ac:dyDescent="0.2"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</row>
    <row r="288" spans="52:86" x14ac:dyDescent="0.2"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</row>
    <row r="289" spans="52:86" x14ac:dyDescent="0.2"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</row>
    <row r="290" spans="52:86" x14ac:dyDescent="0.2"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</row>
    <row r="291" spans="52:86" x14ac:dyDescent="0.2"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</row>
    <row r="292" spans="52:86" x14ac:dyDescent="0.2"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</row>
    <row r="293" spans="52:86" x14ac:dyDescent="0.2"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</row>
    <row r="294" spans="52:86" x14ac:dyDescent="0.2"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</row>
    <row r="295" spans="52:86" x14ac:dyDescent="0.2"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</row>
    <row r="296" spans="52:86" x14ac:dyDescent="0.2"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</row>
    <row r="297" spans="52:86" x14ac:dyDescent="0.2"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</row>
    <row r="298" spans="52:86" x14ac:dyDescent="0.2"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</row>
    <row r="299" spans="52:86" x14ac:dyDescent="0.2"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</row>
    <row r="300" spans="52:86" x14ac:dyDescent="0.2"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</row>
    <row r="301" spans="52:86" x14ac:dyDescent="0.2"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</row>
    <row r="302" spans="52:86" x14ac:dyDescent="0.2"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</row>
    <row r="303" spans="52:86" x14ac:dyDescent="0.2"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</row>
    <row r="304" spans="52:86" x14ac:dyDescent="0.2"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</row>
    <row r="305" spans="52:86" x14ac:dyDescent="0.2"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</row>
    <row r="306" spans="52:86" x14ac:dyDescent="0.2"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</row>
    <row r="307" spans="52:86" x14ac:dyDescent="0.2"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</row>
    <row r="308" spans="52:86" x14ac:dyDescent="0.2"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</row>
    <row r="309" spans="52:86" x14ac:dyDescent="0.2"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</row>
    <row r="310" spans="52:86" x14ac:dyDescent="0.2"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</row>
    <row r="311" spans="52:86" x14ac:dyDescent="0.2"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</row>
    <row r="312" spans="52:86" x14ac:dyDescent="0.2"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</row>
    <row r="313" spans="52:86" x14ac:dyDescent="0.2"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</row>
    <row r="314" spans="52:86" x14ac:dyDescent="0.2"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</row>
    <row r="315" spans="52:86" x14ac:dyDescent="0.2"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</row>
    <row r="316" spans="52:86" x14ac:dyDescent="0.2"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</row>
    <row r="317" spans="52:86" x14ac:dyDescent="0.2"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</row>
    <row r="318" spans="52:86" x14ac:dyDescent="0.2"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</row>
    <row r="319" spans="52:86" x14ac:dyDescent="0.2"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</row>
    <row r="320" spans="52:86" x14ac:dyDescent="0.2"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</row>
    <row r="321" spans="52:86" x14ac:dyDescent="0.2"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</row>
    <row r="322" spans="52:86" x14ac:dyDescent="0.2"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</row>
    <row r="323" spans="52:86" x14ac:dyDescent="0.2"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</row>
    <row r="324" spans="52:86" x14ac:dyDescent="0.2"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</row>
    <row r="325" spans="52:86" x14ac:dyDescent="0.2"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</row>
    <row r="326" spans="52:86" x14ac:dyDescent="0.2"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</row>
    <row r="327" spans="52:86" x14ac:dyDescent="0.2"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</row>
    <row r="328" spans="52:86" x14ac:dyDescent="0.2"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</row>
    <row r="329" spans="52:86" x14ac:dyDescent="0.2"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</row>
    <row r="330" spans="52:86" x14ac:dyDescent="0.2"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</row>
    <row r="331" spans="52:86" x14ac:dyDescent="0.2"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</row>
    <row r="332" spans="52:86" x14ac:dyDescent="0.2"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</row>
    <row r="333" spans="52:86" x14ac:dyDescent="0.2"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</row>
    <row r="334" spans="52:86" x14ac:dyDescent="0.2"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</row>
    <row r="335" spans="52:86" x14ac:dyDescent="0.2"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</row>
    <row r="336" spans="52:86" x14ac:dyDescent="0.2"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</row>
    <row r="337" spans="52:86" x14ac:dyDescent="0.2"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</row>
    <row r="338" spans="52:86" x14ac:dyDescent="0.2"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</row>
    <row r="339" spans="52:86" x14ac:dyDescent="0.2"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</row>
    <row r="340" spans="52:86" x14ac:dyDescent="0.2"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</row>
    <row r="341" spans="52:86" x14ac:dyDescent="0.2"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</row>
    <row r="342" spans="52:86" x14ac:dyDescent="0.2"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</row>
    <row r="343" spans="52:86" x14ac:dyDescent="0.2"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</row>
    <row r="344" spans="52:86" x14ac:dyDescent="0.2"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</row>
    <row r="345" spans="52:86" x14ac:dyDescent="0.2"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</row>
    <row r="346" spans="52:86" x14ac:dyDescent="0.2"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</row>
    <row r="347" spans="52:86" x14ac:dyDescent="0.2"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</row>
    <row r="348" spans="52:86" x14ac:dyDescent="0.2"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</row>
    <row r="349" spans="52:86" x14ac:dyDescent="0.2"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</row>
    <row r="350" spans="52:86" x14ac:dyDescent="0.2"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</row>
    <row r="351" spans="52:86" x14ac:dyDescent="0.2"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</row>
    <row r="352" spans="52:86" x14ac:dyDescent="0.2"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</row>
    <row r="353" spans="52:86" x14ac:dyDescent="0.2"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</row>
    <row r="354" spans="52:86" x14ac:dyDescent="0.2"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</row>
    <row r="355" spans="52:86" x14ac:dyDescent="0.2"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</row>
    <row r="356" spans="52:86" x14ac:dyDescent="0.2"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</row>
    <row r="357" spans="52:86" x14ac:dyDescent="0.2"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</row>
    <row r="358" spans="52:86" x14ac:dyDescent="0.2"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</row>
    <row r="359" spans="52:86" x14ac:dyDescent="0.2"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</row>
    <row r="360" spans="52:86" x14ac:dyDescent="0.2"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</row>
    <row r="361" spans="52:86" x14ac:dyDescent="0.2"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</row>
    <row r="362" spans="52:86" x14ac:dyDescent="0.2"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</row>
    <row r="363" spans="52:86" x14ac:dyDescent="0.2"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</row>
    <row r="364" spans="52:86" x14ac:dyDescent="0.2"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</row>
    <row r="365" spans="52:86" x14ac:dyDescent="0.2"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</row>
    <row r="366" spans="52:86" x14ac:dyDescent="0.2"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</row>
    <row r="367" spans="52:86" x14ac:dyDescent="0.2"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</row>
    <row r="368" spans="52:86" x14ac:dyDescent="0.2"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</row>
    <row r="369" spans="52:86" x14ac:dyDescent="0.2"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</row>
    <row r="370" spans="52:86" x14ac:dyDescent="0.2"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</row>
    <row r="371" spans="52:86" x14ac:dyDescent="0.2"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</row>
    <row r="372" spans="52:86" x14ac:dyDescent="0.2"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</row>
    <row r="373" spans="52:86" x14ac:dyDescent="0.2"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</row>
    <row r="374" spans="52:86" x14ac:dyDescent="0.2"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</row>
    <row r="375" spans="52:86" x14ac:dyDescent="0.2"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</row>
    <row r="376" spans="52:86" x14ac:dyDescent="0.2"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</row>
    <row r="377" spans="52:86" x14ac:dyDescent="0.2"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</row>
    <row r="378" spans="52:86" x14ac:dyDescent="0.2"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</row>
    <row r="379" spans="52:86" x14ac:dyDescent="0.2"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</row>
    <row r="380" spans="52:86" x14ac:dyDescent="0.2"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</row>
    <row r="381" spans="52:86" x14ac:dyDescent="0.2"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</row>
    <row r="382" spans="52:86" x14ac:dyDescent="0.2"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</row>
    <row r="383" spans="52:86" x14ac:dyDescent="0.2"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</row>
    <row r="384" spans="52:86" x14ac:dyDescent="0.2"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</row>
    <row r="385" spans="52:86" x14ac:dyDescent="0.2"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</row>
    <row r="386" spans="52:86" x14ac:dyDescent="0.2"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</row>
    <row r="387" spans="52:86" x14ac:dyDescent="0.2"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</row>
    <row r="388" spans="52:86" x14ac:dyDescent="0.2"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</row>
    <row r="389" spans="52:86" x14ac:dyDescent="0.2"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</row>
    <row r="390" spans="52:86" x14ac:dyDescent="0.2"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</row>
    <row r="391" spans="52:86" x14ac:dyDescent="0.2"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</row>
    <row r="392" spans="52:86" x14ac:dyDescent="0.2"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</row>
    <row r="393" spans="52:86" x14ac:dyDescent="0.2"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</row>
    <row r="394" spans="52:86" x14ac:dyDescent="0.2"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</row>
    <row r="395" spans="52:86" x14ac:dyDescent="0.2"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</row>
    <row r="396" spans="52:86" x14ac:dyDescent="0.2"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</row>
    <row r="397" spans="52:86" x14ac:dyDescent="0.2"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</row>
    <row r="398" spans="52:86" x14ac:dyDescent="0.2"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</row>
    <row r="399" spans="52:86" x14ac:dyDescent="0.2"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</row>
    <row r="400" spans="52:86" x14ac:dyDescent="0.2"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</row>
    <row r="401" spans="52:86" x14ac:dyDescent="0.2"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</row>
    <row r="402" spans="52:86" x14ac:dyDescent="0.2"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</row>
    <row r="403" spans="52:86" x14ac:dyDescent="0.2"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</row>
    <row r="404" spans="52:86" x14ac:dyDescent="0.2"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</row>
    <row r="405" spans="52:86" x14ac:dyDescent="0.2"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</row>
    <row r="406" spans="52:86" x14ac:dyDescent="0.2"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</row>
    <row r="407" spans="52:86" x14ac:dyDescent="0.2"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</row>
    <row r="408" spans="52:86" x14ac:dyDescent="0.2"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</row>
    <row r="409" spans="52:86" x14ac:dyDescent="0.2"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</row>
    <row r="410" spans="52:86" x14ac:dyDescent="0.2"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</row>
    <row r="411" spans="52:86" x14ac:dyDescent="0.2"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</row>
    <row r="412" spans="52:86" x14ac:dyDescent="0.2"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</row>
    <row r="413" spans="52:86" x14ac:dyDescent="0.2"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</row>
    <row r="414" spans="52:86" x14ac:dyDescent="0.2"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</row>
    <row r="415" spans="52:86" x14ac:dyDescent="0.2"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</row>
    <row r="416" spans="52:86" x14ac:dyDescent="0.2"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</row>
    <row r="417" spans="52:86" x14ac:dyDescent="0.2"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</row>
    <row r="418" spans="52:86" x14ac:dyDescent="0.2"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</row>
    <row r="419" spans="52:86" x14ac:dyDescent="0.2"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</row>
    <row r="420" spans="52:86" x14ac:dyDescent="0.2"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</row>
    <row r="421" spans="52:86" x14ac:dyDescent="0.2"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</row>
    <row r="422" spans="52:86" x14ac:dyDescent="0.2"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</row>
    <row r="423" spans="52:86" x14ac:dyDescent="0.2"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</row>
    <row r="424" spans="52:86" x14ac:dyDescent="0.2"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</row>
    <row r="425" spans="52:86" x14ac:dyDescent="0.2"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</row>
    <row r="426" spans="52:86" x14ac:dyDescent="0.2"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</row>
    <row r="427" spans="52:86" x14ac:dyDescent="0.2"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</row>
    <row r="428" spans="52:86" x14ac:dyDescent="0.2"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</row>
    <row r="429" spans="52:86" x14ac:dyDescent="0.2"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</row>
    <row r="430" spans="52:86" x14ac:dyDescent="0.2"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</row>
    <row r="431" spans="52:86" x14ac:dyDescent="0.2"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</row>
    <row r="432" spans="52:86" x14ac:dyDescent="0.2"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</row>
    <row r="433" spans="52:86" x14ac:dyDescent="0.2"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</row>
    <row r="434" spans="52:86" x14ac:dyDescent="0.2"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</row>
    <row r="435" spans="52:86" x14ac:dyDescent="0.2"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</row>
    <row r="436" spans="52:86" x14ac:dyDescent="0.2"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</row>
    <row r="437" spans="52:86" x14ac:dyDescent="0.2"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</row>
    <row r="438" spans="52:86" x14ac:dyDescent="0.2"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</row>
    <row r="439" spans="52:86" x14ac:dyDescent="0.2"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</row>
    <row r="440" spans="52:86" x14ac:dyDescent="0.2"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</row>
    <row r="441" spans="52:86" x14ac:dyDescent="0.2"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</row>
    <row r="442" spans="52:86" x14ac:dyDescent="0.2"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</row>
    <row r="443" spans="52:86" x14ac:dyDescent="0.2"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</row>
    <row r="444" spans="52:86" x14ac:dyDescent="0.2"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</row>
    <row r="445" spans="52:86" x14ac:dyDescent="0.2"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</row>
    <row r="446" spans="52:86" x14ac:dyDescent="0.2"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</row>
    <row r="447" spans="52:86" x14ac:dyDescent="0.2"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</row>
    <row r="448" spans="52:86" x14ac:dyDescent="0.2"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</row>
    <row r="449" spans="52:86" x14ac:dyDescent="0.2"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</row>
    <row r="450" spans="52:86" x14ac:dyDescent="0.2"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</row>
    <row r="451" spans="52:86" x14ac:dyDescent="0.2"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</row>
    <row r="452" spans="52:86" x14ac:dyDescent="0.2"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</row>
    <row r="453" spans="52:86" x14ac:dyDescent="0.2"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</row>
    <row r="454" spans="52:86" x14ac:dyDescent="0.2"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</row>
    <row r="455" spans="52:86" x14ac:dyDescent="0.2"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</row>
    <row r="456" spans="52:86" x14ac:dyDescent="0.2"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</row>
    <row r="457" spans="52:86" x14ac:dyDescent="0.2"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</row>
    <row r="458" spans="52:86" x14ac:dyDescent="0.2"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</row>
    <row r="459" spans="52:86" x14ac:dyDescent="0.2"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</row>
    <row r="460" spans="52:86" x14ac:dyDescent="0.2"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</row>
    <row r="461" spans="52:86" x14ac:dyDescent="0.2"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</row>
    <row r="462" spans="52:86" x14ac:dyDescent="0.2"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</row>
    <row r="463" spans="52:86" x14ac:dyDescent="0.2"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</row>
    <row r="464" spans="52:86" x14ac:dyDescent="0.2"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</row>
    <row r="465" spans="52:86" x14ac:dyDescent="0.2"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</row>
    <row r="466" spans="52:86" x14ac:dyDescent="0.2"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</row>
    <row r="467" spans="52:86" x14ac:dyDescent="0.2"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</row>
    <row r="468" spans="52:86" x14ac:dyDescent="0.2"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</row>
    <row r="469" spans="52:86" x14ac:dyDescent="0.2"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</row>
    <row r="470" spans="52:86" x14ac:dyDescent="0.2"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</row>
    <row r="471" spans="52:86" x14ac:dyDescent="0.2"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</row>
    <row r="472" spans="52:86" x14ac:dyDescent="0.2"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</row>
    <row r="473" spans="52:86" x14ac:dyDescent="0.2"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</row>
    <row r="474" spans="52:86" x14ac:dyDescent="0.2"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</row>
    <row r="475" spans="52:86" x14ac:dyDescent="0.2"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</row>
    <row r="476" spans="52:86" x14ac:dyDescent="0.2"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</row>
    <row r="477" spans="52:86" x14ac:dyDescent="0.2"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</row>
    <row r="478" spans="52:86" x14ac:dyDescent="0.2"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</row>
    <row r="479" spans="52:86" x14ac:dyDescent="0.2"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</row>
    <row r="480" spans="52:86" x14ac:dyDescent="0.2"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</row>
    <row r="481" spans="52:86" x14ac:dyDescent="0.2"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</row>
    <row r="482" spans="52:86" x14ac:dyDescent="0.2"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</row>
    <row r="483" spans="52:86" x14ac:dyDescent="0.2"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</row>
    <row r="484" spans="52:86" x14ac:dyDescent="0.2"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</row>
    <row r="485" spans="52:86" x14ac:dyDescent="0.2"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</row>
    <row r="486" spans="52:86" x14ac:dyDescent="0.2"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</row>
    <row r="487" spans="52:86" x14ac:dyDescent="0.2"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</row>
    <row r="488" spans="52:86" x14ac:dyDescent="0.2"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</row>
    <row r="489" spans="52:86" x14ac:dyDescent="0.2"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</row>
    <row r="490" spans="52:86" x14ac:dyDescent="0.2"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</row>
    <row r="491" spans="52:86" x14ac:dyDescent="0.2"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</row>
    <row r="492" spans="52:86" x14ac:dyDescent="0.2"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</row>
    <row r="493" spans="52:86" x14ac:dyDescent="0.2"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</row>
    <row r="494" spans="52:86" x14ac:dyDescent="0.2"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</row>
    <row r="495" spans="52:86" x14ac:dyDescent="0.2"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</row>
    <row r="496" spans="52:86" x14ac:dyDescent="0.2"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</row>
    <row r="497" spans="52:86" x14ac:dyDescent="0.2"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</row>
    <row r="498" spans="52:86" x14ac:dyDescent="0.2"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</row>
    <row r="499" spans="52:86" x14ac:dyDescent="0.2"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</row>
    <row r="500" spans="52:86" x14ac:dyDescent="0.2"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</row>
    <row r="501" spans="52:86" x14ac:dyDescent="0.2"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</row>
    <row r="502" spans="52:86" x14ac:dyDescent="0.2"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</row>
    <row r="503" spans="52:86" x14ac:dyDescent="0.2"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</row>
    <row r="504" spans="52:86" x14ac:dyDescent="0.2"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</row>
    <row r="505" spans="52:86" x14ac:dyDescent="0.2"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</row>
  </sheetData>
  <sheetProtection selectLockedCells="1"/>
  <mergeCells count="88">
    <mergeCell ref="BQ190:BS190"/>
    <mergeCell ref="BE191:BG191"/>
    <mergeCell ref="BT179:BU179"/>
    <mergeCell ref="BT182:BU182"/>
    <mergeCell ref="BK186:BM186"/>
    <mergeCell ref="BQ186:BS186"/>
    <mergeCell ref="BE189:BG189"/>
    <mergeCell ref="BK189:BM189"/>
    <mergeCell ref="BQ156:BS156"/>
    <mergeCell ref="BE157:BG157"/>
    <mergeCell ref="BF174:BG174"/>
    <mergeCell ref="BF175:BG175"/>
    <mergeCell ref="BF176:BG176"/>
    <mergeCell ref="BT145:BU145"/>
    <mergeCell ref="BT148:BU148"/>
    <mergeCell ref="BK152:BM152"/>
    <mergeCell ref="BQ152:BS152"/>
    <mergeCell ref="BE155:BG155"/>
    <mergeCell ref="BK155:BM155"/>
    <mergeCell ref="BQ122:BS122"/>
    <mergeCell ref="BE123:BG123"/>
    <mergeCell ref="BF140:BG140"/>
    <mergeCell ref="BF141:BG141"/>
    <mergeCell ref="BF142:BG142"/>
    <mergeCell ref="BT114:BU114"/>
    <mergeCell ref="BK118:BM118"/>
    <mergeCell ref="BQ118:BS118"/>
    <mergeCell ref="BE121:BG121"/>
    <mergeCell ref="BK121:BM121"/>
    <mergeCell ref="BE19:BG19"/>
    <mergeCell ref="BF106:BG106"/>
    <mergeCell ref="BF107:BG107"/>
    <mergeCell ref="BF108:BG108"/>
    <mergeCell ref="BT111:BU111"/>
    <mergeCell ref="BK14:BM14"/>
    <mergeCell ref="BQ14:BS14"/>
    <mergeCell ref="BE17:BG17"/>
    <mergeCell ref="BK17:BM17"/>
    <mergeCell ref="BQ18:BS18"/>
    <mergeCell ref="BF2:BG2"/>
    <mergeCell ref="BF3:BG3"/>
    <mergeCell ref="BF4:BG4"/>
    <mergeCell ref="BT7:BU7"/>
    <mergeCell ref="BT10:BU10"/>
    <mergeCell ref="F142:G142"/>
    <mergeCell ref="F107:G107"/>
    <mergeCell ref="F108:G108"/>
    <mergeCell ref="F3:G3"/>
    <mergeCell ref="F4:G4"/>
    <mergeCell ref="F106:G106"/>
    <mergeCell ref="Q122:S122"/>
    <mergeCell ref="E123:G123"/>
    <mergeCell ref="T114:U114"/>
    <mergeCell ref="K118:M118"/>
    <mergeCell ref="Q118:S118"/>
    <mergeCell ref="E121:G121"/>
    <mergeCell ref="K121:M121"/>
    <mergeCell ref="T111:U111"/>
    <mergeCell ref="F2:G2"/>
    <mergeCell ref="T10:U10"/>
    <mergeCell ref="T7:U7"/>
    <mergeCell ref="E19:G19"/>
    <mergeCell ref="K14:M14"/>
    <mergeCell ref="Q14:S14"/>
    <mergeCell ref="E17:G17"/>
    <mergeCell ref="K17:M17"/>
    <mergeCell ref="Q18:S18"/>
    <mergeCell ref="T182:U182"/>
    <mergeCell ref="T179:U179"/>
    <mergeCell ref="E189:G189"/>
    <mergeCell ref="K189:M189"/>
    <mergeCell ref="F140:G140"/>
    <mergeCell ref="T145:U145"/>
    <mergeCell ref="Q156:S156"/>
    <mergeCell ref="E157:G157"/>
    <mergeCell ref="T148:U148"/>
    <mergeCell ref="K152:M152"/>
    <mergeCell ref="Q152:S152"/>
    <mergeCell ref="E155:G155"/>
    <mergeCell ref="K155:M155"/>
    <mergeCell ref="F175:G175"/>
    <mergeCell ref="F176:G176"/>
    <mergeCell ref="F141:G141"/>
    <mergeCell ref="Q190:S190"/>
    <mergeCell ref="E191:G191"/>
    <mergeCell ref="K186:M186"/>
    <mergeCell ref="Q186:S186"/>
    <mergeCell ref="F174:G174"/>
  </mergeCells>
  <printOptions horizontalCentered="1"/>
  <pageMargins left="0.27013888888888898" right="0.32013888888888897" top="0.27986111111111101" bottom="0.40972222222222199" header="0.51180555555555596" footer="0.2"/>
  <pageSetup scale="73" firstPageNumber="0" orientation="landscape" verticalDpi="300" r:id="rId1"/>
  <headerFooter alignWithMargins="0">
    <oddFooter>&amp;L&amp;F&amp;Choja: &amp;A&amp;Rimpreso: &amp;D, &amp;T hrs</oddFooter>
  </headerFooter>
  <ignoredErrors>
    <ignoredError sqref="AA1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" r:id="rId4" name="Button 1">
              <controlPr defaultSize="0" print="0" autoFill="0" autoPict="0" macro="[0]!Clear_Form">
                <anchor moveWithCells="1" sizeWithCells="1">
                  <from>
                    <xdr:col>21</xdr:col>
                    <xdr:colOff>123825</xdr:colOff>
                    <xdr:row>55</xdr:row>
                    <xdr:rowOff>95250</xdr:rowOff>
                  </from>
                  <to>
                    <xdr:col>23</xdr:col>
                    <xdr:colOff>190500</xdr:colOff>
                    <xdr:row>57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5" name="Button 2">
              <controlPr defaultSize="0" print="0" autoFill="0" autoPict="0" macro="[0]!Load_Test_Data">
                <anchor moveWithCells="1" sizeWithCells="1">
                  <from>
                    <xdr:col>24</xdr:col>
                    <xdr:colOff>323850</xdr:colOff>
                    <xdr:row>55</xdr:row>
                    <xdr:rowOff>95250</xdr:rowOff>
                  </from>
                  <to>
                    <xdr:col>27</xdr:col>
                    <xdr:colOff>285750</xdr:colOff>
                    <xdr:row>57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D23"/>
  <sheetViews>
    <sheetView workbookViewId="0">
      <selection activeCell="K32" sqref="K32"/>
    </sheetView>
  </sheetViews>
  <sheetFormatPr baseColWidth="10" defaultColWidth="9.140625" defaultRowHeight="12.75" x14ac:dyDescent="0.2"/>
  <sheetData>
    <row r="3" spans="1:3" x14ac:dyDescent="0.2">
      <c r="A3" t="s">
        <v>73</v>
      </c>
      <c r="B3" s="36"/>
    </row>
    <row r="5" spans="1:3" x14ac:dyDescent="0.2">
      <c r="A5" t="s">
        <v>74</v>
      </c>
      <c r="B5" t="s">
        <v>75</v>
      </c>
    </row>
    <row r="6" spans="1:3" x14ac:dyDescent="0.2">
      <c r="A6">
        <v>19</v>
      </c>
      <c r="B6" s="36">
        <v>0.19230769230769201</v>
      </c>
      <c r="C6">
        <v>0.19230769230769201</v>
      </c>
    </row>
    <row r="7" spans="1:3" x14ac:dyDescent="0.2">
      <c r="A7">
        <v>18</v>
      </c>
      <c r="B7" s="36">
        <v>0.17466410748560501</v>
      </c>
      <c r="C7">
        <v>0.17466410748560501</v>
      </c>
    </row>
    <row r="8" spans="1:3" x14ac:dyDescent="0.2">
      <c r="A8">
        <v>17</v>
      </c>
      <c r="B8" s="36">
        <v>0.15849056603773601</v>
      </c>
      <c r="C8">
        <v>0.15849056603773601</v>
      </c>
    </row>
    <row r="9" spans="1:3" x14ac:dyDescent="0.2">
      <c r="A9">
        <v>16</v>
      </c>
      <c r="B9" s="36">
        <v>0.139013452914798</v>
      </c>
      <c r="C9">
        <v>0.139013452914798</v>
      </c>
    </row>
    <row r="10" spans="1:3" x14ac:dyDescent="0.2">
      <c r="A10">
        <v>15</v>
      </c>
      <c r="B10" s="37">
        <f>0.0176*A10-0.1424</f>
        <v>0.12160000000000001</v>
      </c>
      <c r="C10" s="37">
        <v>0.1216</v>
      </c>
    </row>
    <row r="11" spans="1:3" x14ac:dyDescent="0.2">
      <c r="A11">
        <v>14</v>
      </c>
      <c r="B11" s="37">
        <f>0.0176*A11-0.1424</f>
        <v>0.10400000000000001</v>
      </c>
      <c r="C11" s="37">
        <v>0.10400000000000001</v>
      </c>
    </row>
    <row r="12" spans="1:3" x14ac:dyDescent="0.2">
      <c r="A12">
        <v>13</v>
      </c>
      <c r="B12" s="37">
        <f>0.0176*A12-0.1424</f>
        <v>8.6400000000000005E-2</v>
      </c>
      <c r="C12" s="37">
        <v>8.6400000000000005E-2</v>
      </c>
    </row>
    <row r="13" spans="1:3" x14ac:dyDescent="0.2">
      <c r="A13">
        <v>12</v>
      </c>
      <c r="B13" s="37">
        <f>0.0176*A13-0.1424</f>
        <v>6.88E-2</v>
      </c>
      <c r="C13" s="37">
        <v>6.88E-2</v>
      </c>
    </row>
    <row r="16" spans="1:3" x14ac:dyDescent="0.2">
      <c r="A16">
        <v>15</v>
      </c>
      <c r="B16">
        <v>0.12160000000000001</v>
      </c>
    </row>
    <row r="17" spans="1:4" x14ac:dyDescent="0.2">
      <c r="A17">
        <v>13</v>
      </c>
      <c r="B17">
        <v>8.6400000000000005E-2</v>
      </c>
    </row>
    <row r="21" spans="1:4" x14ac:dyDescent="0.2">
      <c r="B21" t="s">
        <v>76</v>
      </c>
      <c r="D21" t="s">
        <v>77</v>
      </c>
    </row>
    <row r="23" spans="1:4" x14ac:dyDescent="0.2">
      <c r="B23" t="s">
        <v>203</v>
      </c>
    </row>
  </sheetData>
  <sheetProtection selectLockedCells="1" selectUnlockedCells="1"/>
  <pageMargins left="0.74791666666666701" right="0.74791666666666701" top="0.98402777777777795" bottom="0.98402777777777795" header="0.51180555555555596" footer="0.51180555555555596"/>
  <pageSetup firstPageNumber="0" orientation="landscape" horizontalDpi="300" verticalDpi="300" r:id="rId1"/>
  <headerFooter alignWithMargins="0">
    <oddFooter>&amp;L&amp;F&amp;CSheet: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C1:AD27"/>
  <sheetViews>
    <sheetView zoomScale="90" zoomScaleNormal="90" workbookViewId="0">
      <selection activeCell="F31" sqref="F31"/>
    </sheetView>
  </sheetViews>
  <sheetFormatPr baseColWidth="10" defaultColWidth="9.140625" defaultRowHeight="12.75" x14ac:dyDescent="0.2"/>
  <cols>
    <col min="1" max="1" width="1.140625" customWidth="1"/>
    <col min="2" max="2" width="8" customWidth="1"/>
    <col min="3" max="3" width="7" customWidth="1"/>
    <col min="4" max="4" width="7.140625" customWidth="1"/>
    <col min="5" max="5" width="6.85546875" customWidth="1"/>
    <col min="6" max="6" width="7.85546875" customWidth="1"/>
    <col min="7" max="7" width="9.42578125" customWidth="1"/>
    <col min="8" max="29" width="5.7109375" customWidth="1"/>
    <col min="30" max="30" width="11.140625" customWidth="1"/>
  </cols>
  <sheetData>
    <row r="1" spans="3:30" ht="15.75" thickBot="1" x14ac:dyDescent="0.25">
      <c r="D1" s="1"/>
      <c r="E1" s="2" t="s">
        <v>202</v>
      </c>
      <c r="F1" s="63"/>
      <c r="H1" s="1"/>
      <c r="I1" s="3"/>
      <c r="K1" s="2" t="s">
        <v>120</v>
      </c>
      <c r="L1" s="39"/>
      <c r="M1" s="38"/>
      <c r="O1" s="5"/>
      <c r="P1" s="5"/>
      <c r="Q1" s="5"/>
      <c r="R1" s="5"/>
      <c r="S1" s="2" t="s">
        <v>138</v>
      </c>
      <c r="T1" s="39"/>
      <c r="U1" s="38"/>
      <c r="Y1" s="2" t="s">
        <v>212</v>
      </c>
      <c r="Z1" s="7" t="s">
        <v>98</v>
      </c>
      <c r="AC1" s="2" t="s">
        <v>201</v>
      </c>
      <c r="AD1" s="7"/>
    </row>
    <row r="2" spans="3:30" x14ac:dyDescent="0.2">
      <c r="D2" s="1"/>
      <c r="E2" s="2" t="s">
        <v>204</v>
      </c>
      <c r="F2" s="280"/>
      <c r="G2" s="286"/>
      <c r="H2" s="1"/>
      <c r="I2" s="1"/>
      <c r="K2" s="2" t="s">
        <v>121</v>
      </c>
      <c r="L2" s="39"/>
      <c r="M2" s="38"/>
      <c r="O2" s="5"/>
      <c r="P2" s="5"/>
      <c r="Q2" s="5"/>
      <c r="R2" s="5"/>
      <c r="S2" s="2" t="s">
        <v>197</v>
      </c>
      <c r="T2" s="39"/>
      <c r="U2" s="38"/>
    </row>
    <row r="3" spans="3:30" ht="13.5" thickBot="1" x14ac:dyDescent="0.25">
      <c r="D3" s="1"/>
      <c r="E3" s="2" t="s">
        <v>106</v>
      </c>
      <c r="F3" s="40"/>
      <c r="K3" s="2" t="s">
        <v>122</v>
      </c>
      <c r="L3" s="39"/>
      <c r="M3" s="38"/>
      <c r="O3" s="5"/>
      <c r="P3" s="5"/>
      <c r="Q3" s="5"/>
      <c r="R3" s="5"/>
      <c r="S3" s="2" t="s">
        <v>139</v>
      </c>
      <c r="T3" s="39"/>
      <c r="U3" s="38"/>
      <c r="Z3" s="1"/>
      <c r="AA3" s="1"/>
      <c r="AB3" s="1"/>
      <c r="AC3" s="2" t="s">
        <v>178</v>
      </c>
      <c r="AD3" s="8"/>
    </row>
    <row r="4" spans="3:30" x14ac:dyDescent="0.2">
      <c r="D4" s="1"/>
      <c r="E4" s="2" t="s">
        <v>107</v>
      </c>
      <c r="F4" s="40"/>
      <c r="K4" s="2" t="s">
        <v>123</v>
      </c>
      <c r="L4" s="39"/>
      <c r="M4" s="38"/>
      <c r="O4" s="5"/>
      <c r="Q4" s="5"/>
      <c r="R4" s="5"/>
      <c r="S4" s="2" t="s">
        <v>140</v>
      </c>
      <c r="T4" s="39"/>
      <c r="U4" s="38"/>
      <c r="AC4" s="1"/>
    </row>
    <row r="5" spans="3:30" ht="13.5" thickBot="1" x14ac:dyDescent="0.25">
      <c r="D5" s="1"/>
      <c r="E5" s="2" t="s">
        <v>108</v>
      </c>
      <c r="F5" s="40"/>
      <c r="K5" s="2" t="s">
        <v>124</v>
      </c>
      <c r="L5" s="39"/>
      <c r="M5" s="38"/>
      <c r="O5" s="5"/>
      <c r="P5" s="5"/>
      <c r="Q5" s="5"/>
      <c r="R5" s="5"/>
      <c r="S5" s="2" t="s">
        <v>238</v>
      </c>
      <c r="T5" s="61"/>
      <c r="U5" s="55"/>
      <c r="AC5" s="2" t="s">
        <v>239</v>
      </c>
      <c r="AD5" s="8"/>
    </row>
    <row r="6" spans="3:30" x14ac:dyDescent="0.2">
      <c r="D6" s="1"/>
      <c r="E6" s="2" t="s">
        <v>109</v>
      </c>
      <c r="F6" s="40"/>
      <c r="K6" s="2" t="s">
        <v>125</v>
      </c>
      <c r="L6" s="39"/>
      <c r="M6" s="52"/>
      <c r="N6" s="38"/>
      <c r="O6" s="5"/>
      <c r="P6" s="9"/>
      <c r="Q6" s="62"/>
      <c r="R6" s="62" t="s">
        <v>141</v>
      </c>
      <c r="S6" s="62"/>
      <c r="T6" s="5"/>
      <c r="U6" s="5"/>
      <c r="W6" s="10"/>
      <c r="X6" s="10"/>
      <c r="Y6" s="10"/>
      <c r="Z6" s="10"/>
      <c r="AA6" s="10"/>
      <c r="AB6" s="10"/>
      <c r="AC6" s="1"/>
      <c r="AD6" s="10"/>
    </row>
    <row r="7" spans="3:30" x14ac:dyDescent="0.2">
      <c r="E7" s="2" t="s">
        <v>224</v>
      </c>
      <c r="F7" s="40"/>
      <c r="K7" s="2" t="s">
        <v>126</v>
      </c>
      <c r="L7" s="40"/>
      <c r="O7" s="5"/>
      <c r="P7" s="5"/>
      <c r="S7" s="2" t="s">
        <v>142</v>
      </c>
      <c r="T7" s="280"/>
      <c r="U7" s="286"/>
      <c r="W7" s="11"/>
      <c r="X7" s="12"/>
      <c r="Y7" s="12"/>
      <c r="Z7" s="13"/>
      <c r="AA7" s="14" t="s">
        <v>217</v>
      </c>
      <c r="AB7" s="12"/>
      <c r="AC7" s="54"/>
      <c r="AD7" s="15"/>
    </row>
    <row r="8" spans="3:30" x14ac:dyDescent="0.2">
      <c r="D8" s="1"/>
      <c r="E8" s="2" t="s">
        <v>110</v>
      </c>
      <c r="F8" s="40"/>
      <c r="K8" s="2" t="s">
        <v>127</v>
      </c>
      <c r="L8" s="53"/>
      <c r="N8" s="6"/>
      <c r="S8" s="2" t="s">
        <v>143</v>
      </c>
      <c r="T8" s="39"/>
      <c r="U8" s="38"/>
      <c r="W8" s="17"/>
      <c r="X8" s="18"/>
      <c r="Y8" s="18"/>
      <c r="Z8" s="18"/>
      <c r="AA8" s="18"/>
      <c r="AB8" s="18"/>
      <c r="AC8" s="18"/>
      <c r="AD8" s="19"/>
    </row>
    <row r="9" spans="3:30" x14ac:dyDescent="0.2">
      <c r="D9" s="1"/>
      <c r="E9" s="2" t="s">
        <v>111</v>
      </c>
      <c r="F9" s="280"/>
      <c r="G9" s="286"/>
      <c r="K9" s="2" t="s">
        <v>128</v>
      </c>
      <c r="L9" s="40"/>
      <c r="Q9" s="62"/>
      <c r="R9" s="62" t="s">
        <v>144</v>
      </c>
      <c r="S9" s="62"/>
      <c r="T9" s="5"/>
      <c r="U9" s="5"/>
      <c r="W9" s="17"/>
      <c r="X9" s="18"/>
      <c r="Y9" s="18"/>
      <c r="Z9" s="18"/>
      <c r="AA9" s="18"/>
      <c r="AB9" s="18"/>
      <c r="AC9" s="20" t="s">
        <v>179</v>
      </c>
      <c r="AD9" s="21">
        <v>50.600000000000009</v>
      </c>
    </row>
    <row r="10" spans="3:30" x14ac:dyDescent="0.2">
      <c r="D10" s="1"/>
      <c r="E10" s="2" t="s">
        <v>225</v>
      </c>
      <c r="F10" s="40"/>
      <c r="G10" s="22" t="s">
        <v>10</v>
      </c>
      <c r="N10" s="42" t="s">
        <v>133</v>
      </c>
      <c r="S10" s="2" t="s">
        <v>142</v>
      </c>
      <c r="T10" s="280"/>
      <c r="U10" s="286"/>
      <c r="W10" s="17"/>
      <c r="X10" s="18"/>
      <c r="Y10" s="18"/>
      <c r="Z10" s="18"/>
      <c r="AA10" s="18"/>
      <c r="AB10" s="18"/>
      <c r="AC10" s="20" t="s">
        <v>180</v>
      </c>
      <c r="AD10" s="21">
        <v>68</v>
      </c>
    </row>
    <row r="11" spans="3:30" x14ac:dyDescent="0.2">
      <c r="D11" s="1"/>
      <c r="E11" s="2" t="s">
        <v>112</v>
      </c>
      <c r="F11" s="40"/>
      <c r="G11" s="60" t="s">
        <v>226</v>
      </c>
      <c r="K11" s="2" t="s">
        <v>129</v>
      </c>
      <c r="L11" s="40"/>
      <c r="N11" s="4" t="s">
        <v>134</v>
      </c>
      <c r="O11" s="41"/>
      <c r="S11" s="2" t="s">
        <v>143</v>
      </c>
      <c r="T11" s="39"/>
      <c r="U11" s="38"/>
      <c r="W11" s="23"/>
      <c r="X11" s="24"/>
      <c r="Y11" s="24"/>
      <c r="Z11" s="24"/>
      <c r="AA11" s="24"/>
      <c r="AB11" s="24"/>
      <c r="AC11" s="25" t="s">
        <v>181</v>
      </c>
      <c r="AD11" s="26">
        <v>97.04</v>
      </c>
    </row>
    <row r="14" spans="3:30" x14ac:dyDescent="0.2">
      <c r="C14" s="4" t="s">
        <v>240</v>
      </c>
      <c r="D14" s="28" t="s">
        <v>242</v>
      </c>
    </row>
    <row r="15" spans="3:30" x14ac:dyDescent="0.2">
      <c r="C15" s="4" t="s">
        <v>253</v>
      </c>
      <c r="D15" s="64" t="s">
        <v>241</v>
      </c>
    </row>
    <row r="17" spans="5:30" ht="12.75" customHeight="1" thickBot="1" x14ac:dyDescent="0.25">
      <c r="E17" s="2" t="s">
        <v>202</v>
      </c>
      <c r="F17" s="63"/>
      <c r="H17" s="1"/>
      <c r="I17" s="3"/>
      <c r="K17" s="2" t="s">
        <v>120</v>
      </c>
      <c r="L17" s="39"/>
      <c r="M17" s="52"/>
      <c r="N17" s="38"/>
      <c r="P17" s="5"/>
      <c r="Q17" s="2" t="s">
        <v>249</v>
      </c>
      <c r="R17" s="56"/>
      <c r="S17" s="58"/>
      <c r="T17" s="65"/>
      <c r="U17" s="57"/>
      <c r="Y17" s="2" t="s">
        <v>212</v>
      </c>
      <c r="Z17" s="7"/>
      <c r="AC17" s="2" t="s">
        <v>201</v>
      </c>
      <c r="AD17" s="7"/>
    </row>
    <row r="18" spans="5:30" x14ac:dyDescent="0.2">
      <c r="E18" s="2" t="s">
        <v>204</v>
      </c>
      <c r="F18" s="280"/>
      <c r="G18" s="286"/>
      <c r="H18" s="1"/>
      <c r="I18" s="1"/>
      <c r="K18" s="2" t="s">
        <v>252</v>
      </c>
      <c r="L18" s="39"/>
      <c r="M18" s="52"/>
      <c r="N18" s="38"/>
      <c r="P18" s="56"/>
      <c r="Q18" s="65"/>
      <c r="R18" s="58"/>
      <c r="S18" s="58"/>
      <c r="T18" s="65"/>
      <c r="U18" s="57"/>
    </row>
    <row r="19" spans="5:30" ht="13.5" thickBot="1" x14ac:dyDescent="0.25">
      <c r="E19" s="2" t="s">
        <v>125</v>
      </c>
      <c r="F19" s="280"/>
      <c r="G19" s="286"/>
      <c r="K19" s="2" t="s">
        <v>245</v>
      </c>
      <c r="L19" s="40"/>
      <c r="P19" s="56"/>
      <c r="Q19" s="65"/>
      <c r="R19" s="58"/>
      <c r="S19" s="58"/>
      <c r="T19" s="65"/>
      <c r="U19" s="57"/>
      <c r="Z19" s="1"/>
      <c r="AA19" s="1"/>
      <c r="AB19" s="1"/>
      <c r="AC19" s="2" t="s">
        <v>178</v>
      </c>
      <c r="AD19" s="8"/>
    </row>
    <row r="20" spans="5:30" x14ac:dyDescent="0.2">
      <c r="E20" s="2" t="s">
        <v>111</v>
      </c>
      <c r="F20" s="280"/>
      <c r="G20" s="286"/>
      <c r="K20" s="2" t="s">
        <v>138</v>
      </c>
      <c r="L20" s="53"/>
      <c r="Q20" s="5"/>
      <c r="R20" s="5"/>
      <c r="S20" s="2"/>
      <c r="AC20" s="1"/>
    </row>
    <row r="21" spans="5:30" ht="13.5" thickBot="1" x14ac:dyDescent="0.25">
      <c r="E21" s="2" t="s">
        <v>247</v>
      </c>
      <c r="F21" s="40"/>
      <c r="K21" s="2" t="s">
        <v>225</v>
      </c>
      <c r="L21" s="40"/>
      <c r="M21" t="s">
        <v>248</v>
      </c>
      <c r="P21" s="5"/>
      <c r="Q21" s="5"/>
      <c r="R21" s="5"/>
      <c r="S21" s="2"/>
      <c r="AC21" s="2" t="s">
        <v>239</v>
      </c>
      <c r="AD21" s="8"/>
    </row>
    <row r="22" spans="5:30" x14ac:dyDescent="0.2">
      <c r="E22" s="2" t="s">
        <v>107</v>
      </c>
      <c r="F22" s="40"/>
      <c r="K22" s="2" t="s">
        <v>250</v>
      </c>
      <c r="L22" s="61"/>
      <c r="M22" s="55"/>
      <c r="N22" t="s">
        <v>251</v>
      </c>
      <c r="P22" s="9"/>
      <c r="Q22" s="62"/>
      <c r="R22" s="62" t="s">
        <v>141</v>
      </c>
      <c r="S22" s="62"/>
      <c r="T22" s="5"/>
      <c r="W22" s="10"/>
      <c r="X22" s="10"/>
      <c r="Y22" s="10"/>
      <c r="Z22" s="10"/>
      <c r="AA22" s="10"/>
      <c r="AB22" s="10"/>
      <c r="AC22" s="1"/>
      <c r="AD22" s="10"/>
    </row>
    <row r="23" spans="5:30" x14ac:dyDescent="0.2">
      <c r="E23" s="2" t="s">
        <v>224</v>
      </c>
      <c r="F23" s="40"/>
      <c r="K23" s="2" t="s">
        <v>140</v>
      </c>
      <c r="L23" s="40"/>
      <c r="O23" s="5"/>
      <c r="P23" s="5"/>
      <c r="S23" s="2" t="s">
        <v>142</v>
      </c>
      <c r="T23" s="280"/>
      <c r="U23" s="286"/>
      <c r="W23" s="11"/>
      <c r="X23" s="12"/>
      <c r="Y23" s="12"/>
      <c r="Z23" s="13"/>
      <c r="AA23" s="14" t="s">
        <v>217</v>
      </c>
      <c r="AB23" s="12"/>
      <c r="AC23" s="54"/>
      <c r="AD23" s="15"/>
    </row>
    <row r="24" spans="5:30" x14ac:dyDescent="0.2">
      <c r="E24" s="2" t="s">
        <v>110</v>
      </c>
      <c r="F24" s="40"/>
      <c r="K24" s="2" t="s">
        <v>238</v>
      </c>
      <c r="L24" s="61"/>
      <c r="M24" s="55"/>
      <c r="N24" s="6"/>
      <c r="S24" s="2" t="s">
        <v>143</v>
      </c>
      <c r="T24" s="39"/>
      <c r="U24" s="38"/>
      <c r="W24" s="17"/>
      <c r="X24" s="18"/>
      <c r="Y24" s="18"/>
      <c r="Z24" s="18"/>
      <c r="AA24" s="18"/>
      <c r="AB24" s="18"/>
      <c r="AC24" s="18"/>
      <c r="AD24" s="19"/>
    </row>
    <row r="25" spans="5:30" x14ac:dyDescent="0.2">
      <c r="E25" s="2" t="s">
        <v>243</v>
      </c>
      <c r="F25" s="40"/>
      <c r="K25" s="2" t="s">
        <v>112</v>
      </c>
      <c r="L25" s="40"/>
      <c r="M25" s="60" t="s">
        <v>226</v>
      </c>
      <c r="Q25" s="62"/>
      <c r="R25" s="62" t="s">
        <v>144</v>
      </c>
      <c r="S25" s="62"/>
      <c r="T25" s="5"/>
      <c r="U25" s="5"/>
      <c r="W25" s="17"/>
      <c r="X25" s="18"/>
      <c r="Y25" s="18"/>
      <c r="Z25" s="18"/>
      <c r="AA25" s="18"/>
      <c r="AB25" s="18"/>
      <c r="AC25" s="20" t="s">
        <v>179</v>
      </c>
      <c r="AD25" s="21"/>
    </row>
    <row r="26" spans="5:30" x14ac:dyDescent="0.2">
      <c r="E26" s="2" t="s">
        <v>244</v>
      </c>
      <c r="F26" s="40"/>
      <c r="K26" s="2" t="s">
        <v>128</v>
      </c>
      <c r="L26" s="40"/>
      <c r="N26" s="42" t="s">
        <v>254</v>
      </c>
      <c r="S26" s="2" t="s">
        <v>142</v>
      </c>
      <c r="T26" s="280"/>
      <c r="U26" s="286"/>
      <c r="W26" s="17"/>
      <c r="X26" s="18"/>
      <c r="Y26" s="18"/>
      <c r="Z26" s="18"/>
      <c r="AA26" s="18"/>
      <c r="AB26" s="18"/>
      <c r="AC26" s="20" t="s">
        <v>180</v>
      </c>
      <c r="AD26" s="21"/>
    </row>
    <row r="27" spans="5:30" x14ac:dyDescent="0.2">
      <c r="E27" s="2" t="s">
        <v>139</v>
      </c>
      <c r="F27" s="40"/>
      <c r="K27" s="2" t="s">
        <v>246</v>
      </c>
      <c r="L27" s="40"/>
      <c r="M27" t="s">
        <v>38</v>
      </c>
      <c r="N27" s="4" t="s">
        <v>134</v>
      </c>
      <c r="O27" s="41"/>
      <c r="S27" s="2" t="s">
        <v>143</v>
      </c>
      <c r="T27" s="39"/>
      <c r="U27" s="38"/>
      <c r="W27" s="23"/>
      <c r="X27" s="24"/>
      <c r="Y27" s="24"/>
      <c r="Z27" s="24"/>
      <c r="AA27" s="24"/>
      <c r="AB27" s="24"/>
      <c r="AC27" s="25" t="s">
        <v>181</v>
      </c>
      <c r="AD27" s="26"/>
    </row>
  </sheetData>
  <mergeCells count="9">
    <mergeCell ref="T23:U23"/>
    <mergeCell ref="T26:U26"/>
    <mergeCell ref="F18:G18"/>
    <mergeCell ref="F2:G2"/>
    <mergeCell ref="T7:U7"/>
    <mergeCell ref="F9:G9"/>
    <mergeCell ref="T10:U10"/>
    <mergeCell ref="F19:G19"/>
    <mergeCell ref="F20:G20"/>
  </mergeCells>
  <pageMargins left="0.7" right="0.7" top="0.75" bottom="0.75" header="0.3" footer="0.3"/>
  <pageSetup paperSize="9" orientation="portrait" verticalDpi="0" r:id="rId1"/>
  <headerFooter>
    <oddFooter>&amp;L&amp;F&amp;CHoja: &amp;A, pagina &amp;P de &amp;N&amp;RImpreso: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Plantilla</vt:lpstr>
      <vt:lpstr>Bean Weight</vt:lpstr>
      <vt:lpstr>Propuesta Revision</vt:lpstr>
      <vt:lpstr>'Bean Weight'!Área_de_impresión</vt:lpstr>
      <vt:lpstr>Plantilla!Área_de_impresión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new user</cp:lastModifiedBy>
  <cp:lastPrinted>2018-09-20T14:52:35Z</cp:lastPrinted>
  <dcterms:created xsi:type="dcterms:W3CDTF">2016-10-06T04:50:14Z</dcterms:created>
  <dcterms:modified xsi:type="dcterms:W3CDTF">2019-10-17T16:42:05Z</dcterms:modified>
</cp:coreProperties>
</file>