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88.png" ContentType="image/png"/>
  <Override PartName="/xl/media/image287.png" ContentType="image/png"/>
  <Override PartName="/xl/media/image286.png" ContentType="image/png"/>
  <Override PartName="/xl/media/image285.png" ContentType="image/png"/>
  <Override PartName="/xl/media/image284.png" ContentType="image/png"/>
  <Override PartName="/xl/media/image283.png" ContentType="image/png"/>
  <Override PartName="/xl/media/image282.png" ContentType="image/png"/>
  <Override PartName="/xl/media/image281.png" ContentType="image/png"/>
  <Override PartName="/xl/media/image280.png" ContentType="image/png"/>
  <Override PartName="/xl/media/image279.png" ContentType="image/png"/>
  <Override PartName="/xl/media/image278.png" ContentType="image/png"/>
  <Override PartName="/xl/media/image277.png" ContentType="image/png"/>
  <Override PartName="/xl/media/image276.png" ContentType="image/png"/>
  <Override PartName="/xl/media/image275.png" ContentType="image/png"/>
  <Override PartName="/xl/media/image274.png" ContentType="image/png"/>
  <Override PartName="/xl/media/image273.png" ContentType="image/png"/>
  <Override PartName="/xl/media/image272.png" ContentType="image/png"/>
  <Override PartName="/xl/media/image271.png" ContentType="image/png"/>
  <Override PartName="/xl/media/image260.png" ContentType="image/png"/>
  <Override PartName="/xl/media/image228.png" ContentType="image/png"/>
  <Override PartName="/xl/media/image203.png" ContentType="image/png"/>
  <Override PartName="/xl/media/image227.png" ContentType="image/png"/>
  <Override PartName="/xl/media/image202.png" ContentType="image/png"/>
  <Override PartName="/xl/media/image226.png" ContentType="image/png"/>
  <Override PartName="/xl/media/image201.png" ContentType="image/png"/>
  <Override PartName="/xl/media/image225.png" ContentType="image/png"/>
  <Override PartName="/xl/media/image200.png" ContentType="image/png"/>
  <Override PartName="/xl/media/image224.png" ContentType="image/png"/>
  <Override PartName="/xl/media/image249.png" ContentType="image/png"/>
  <Override PartName="/xl/media/image223.png" ContentType="image/png"/>
  <Override PartName="/xl/media/image199.png" ContentType="image/png"/>
  <Override PartName="/xl/media/image248.png" ContentType="image/png"/>
  <Override PartName="/xl/media/image222.png" ContentType="image/png"/>
  <Override PartName="/xl/media/image198.png" ContentType="image/png"/>
  <Override PartName="/xl/media/image247.png" ContentType="image/png"/>
  <Override PartName="/xl/media/image221.png" ContentType="image/png"/>
  <Override PartName="/xl/media/image197.png" ContentType="image/png"/>
  <Override PartName="/xl/media/image246.png" ContentType="image/png"/>
  <Override PartName="/xl/media/image220.png" ContentType="image/png"/>
  <Override PartName="/xl/media/image196.png" ContentType="image/png"/>
  <Override PartName="/xl/media/image245.png" ContentType="image/png"/>
  <Override PartName="/xl/media/image219.png" ContentType="image/png"/>
  <Override PartName="/xl/media/image218.png" ContentType="image/png"/>
  <Override PartName="/xl/media/image217.png" ContentType="image/png"/>
  <Override PartName="/xl/media/image216.png" ContentType="image/png"/>
  <Override PartName="/xl/media/image215.png" ContentType="image/png"/>
  <Override PartName="/xl/media/image214.png" ContentType="image/png"/>
  <Override PartName="/xl/media/image239.png" ContentType="image/png"/>
  <Override PartName="/xl/media/image213.png" ContentType="image/png"/>
  <Override PartName="/xl/media/image238.png" ContentType="image/png"/>
  <Override PartName="/xl/media/image212.png" ContentType="image/png"/>
  <Override PartName="/xl/media/image237.png" ContentType="image/png"/>
  <Override PartName="/xl/media/image211.png" ContentType="image/png"/>
  <Override PartName="/xl/media/image236.png" ContentType="image/png"/>
  <Override PartName="/xl/media/image210.png" ContentType="image/png"/>
  <Override PartName="/xl/media/image235.png" ContentType="image/png"/>
  <Override PartName="/xl/media/image209.png" ContentType="image/png"/>
  <Override PartName="/xl/media/image208.png" ContentType="image/png"/>
  <Override PartName="/xl/media/image204.png" ContentType="image/png"/>
  <Override PartName="/xl/media/image229.png" ContentType="image/png"/>
  <Override PartName="/xl/media/image205.png" ContentType="image/png"/>
  <Override PartName="/xl/media/image206.png" ContentType="image/png"/>
  <Override PartName="/xl/media/image207.png" ContentType="image/png"/>
  <Override PartName="/xl/media/image230.png" ContentType="image/png"/>
  <Override PartName="/xl/media/image255.png" ContentType="image/png"/>
  <Override PartName="/xl/media/image231.png" ContentType="image/png"/>
  <Override PartName="/xl/media/image256.png" ContentType="image/png"/>
  <Override PartName="/xl/media/image232.png" ContentType="image/png"/>
  <Override PartName="/xl/media/image257.png" ContentType="image/png"/>
  <Override PartName="/xl/media/image233.png" ContentType="image/png"/>
  <Override PartName="/xl/media/image258.png" ContentType="image/png"/>
  <Override PartName="/xl/media/image234.png" ContentType="image/png"/>
  <Override PartName="/xl/media/image259.png" ContentType="image/png"/>
  <Override PartName="/xl/media/image240.png" ContentType="image/png"/>
  <Override PartName="/xl/media/image265.png" ContentType="image/png"/>
  <Override PartName="/xl/media/image241.png" ContentType="image/png"/>
  <Override PartName="/xl/media/image266.png" ContentType="image/png"/>
  <Override PartName="/xl/media/image193.png" ContentType="image/png"/>
  <Override PartName="/xl/media/image242.png" ContentType="image/png"/>
  <Override PartName="/xl/media/image267.png" ContentType="image/png"/>
  <Override PartName="/xl/media/image194.png" ContentType="image/png"/>
  <Override PartName="/xl/media/image243.png" ContentType="image/png"/>
  <Override PartName="/xl/media/image268.png" ContentType="image/png"/>
  <Override PartName="/xl/media/image195.png" ContentType="image/png"/>
  <Override PartName="/xl/media/image244.png" ContentType="image/png"/>
  <Override PartName="/xl/media/image269.png" ContentType="image/png"/>
  <Override PartName="/xl/media/image250.png" ContentType="image/png"/>
  <Override PartName="/xl/media/image251.png" ContentType="image/png"/>
  <Override PartName="/xl/media/image252.png" ContentType="image/png"/>
  <Override PartName="/xl/media/image253.png" ContentType="image/png"/>
  <Override PartName="/xl/media/image254.png" ContentType="image/png"/>
  <Override PartName="/xl/media/image261.png" ContentType="image/png"/>
  <Override PartName="/xl/media/image262.png" ContentType="image/png"/>
  <Override PartName="/xl/media/image263.png" ContentType="image/png"/>
  <Override PartName="/xl/media/image264.png" ContentType="image/png"/>
  <Override PartName="/xl/media/image270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18 World Cup" sheetId="3" state="visible" r:id="rId4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<sst xmlns="http://schemas.openxmlformats.org/spreadsheetml/2006/main" count="4451" uniqueCount="2560">
  <si>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</si>
  <si>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</si>
  <si>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</si>
  <si>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</si>
  <si>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</si>
  <si>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</si>
  <si>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</si>
  <si>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</si>
  <si>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</si>
  <si>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</si>
  <si>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</si>
  <si>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</si>
  <si>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</si>
  <si>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</si>
  <si>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</si>
  <si>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</si>
  <si>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</si>
  <si>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</si>
  <si>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</si>
  <si>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</si>
  <si>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</si>
  <si>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</si>
  <si>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</si>
  <si>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</si>
  <si>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</si>
  <si>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</si>
  <si>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</si>
  <si>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</si>
  <si>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</si>
  <si>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</si>
  <si>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</si>
  <si>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</si>
  <si>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</si>
  <si>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</si>
  <si>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</si>
  <si>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</si>
  <si>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</si>
  <si>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</si>
  <si>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</si>
  <si>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</si>
  <si>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</si>
  <si>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</si>
  <si>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Uzbek</t>
  </si>
  <si>
    <t xml:space="preserve">2018 World Cup Final Tournament Schedule</t>
  </si>
  <si>
    <t xml:space="preserve">Kupa Botërore 2018</t>
  </si>
  <si>
    <r>
      <rPr>
        <sz val="11"/>
        <color rgb="FF000000"/>
        <rFont val="Noto Sans Devanagari"/>
        <family val="2"/>
        <charset val="1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</si>
  <si>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</si>
  <si>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</si>
  <si>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</si>
  <si>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</si>
  <si>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sz val="11"/>
        <color rgb="FF000000"/>
        <rFont val="Droid Sans Fallback"/>
        <family val="2"/>
        <charset val="1"/>
      </rPr>
      <t xml:space="preserve">巴西</t>
    </r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</si>
  <si>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</si>
  <si>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</si>
  <si>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</si>
  <si>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</si>
  <si>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</si>
  <si>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</si>
  <si>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</si>
  <si>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</si>
  <si>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</si>
  <si>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Noto Sans Devanagari"/>
        <family val="2"/>
        <charset val="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</si>
  <si>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</si>
  <si>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</si>
  <si>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</si>
  <si>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</si>
  <si>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</si>
  <si>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</si>
  <si>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</si>
  <si>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</si>
  <si>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</si>
  <si>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sz val="11"/>
        <color rgb="FF000000"/>
        <rFont val="Noto Sans Devanagari"/>
        <family val="2"/>
        <charset val="1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</si>
  <si>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</si>
  <si>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</si>
  <si>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</si>
  <si>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</si>
  <si>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</si>
  <si>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</si>
  <si>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</si>
  <si>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</si>
  <si>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</si>
  <si>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sz val="11"/>
        <color rgb="FF000000"/>
        <rFont val="Noto Sans Devanagari"/>
        <family val="2"/>
        <charset val="1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</si>
  <si>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</si>
  <si>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</si>
  <si>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</si>
  <si>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</si>
  <si>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</si>
  <si>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</si>
  <si>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</si>
  <si>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</si>
  <si>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</si>
  <si>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</si>
  <si>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</si>
  <si>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</si>
  <si>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</si>
  <si>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</si>
  <si>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</si>
  <si>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</si>
  <si>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</si>
  <si>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</si>
  <si>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</si>
  <si>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</si>
  <si>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</si>
  <si>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</si>
  <si>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</si>
  <si>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</si>
  <si>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</si>
  <si>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</si>
  <si>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</si>
  <si>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</si>
  <si>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</si>
  <si>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</si>
  <si>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</si>
  <si>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</si>
  <si>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</si>
  <si>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</si>
  <si>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</si>
  <si>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</si>
  <si>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</si>
  <si>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</si>
  <si>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</si>
  <si>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</si>
  <si>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</si>
  <si>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</si>
  <si>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</si>
  <si>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</si>
  <si>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</si>
  <si>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</si>
  <si>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</si>
  <si>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</si>
  <si>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</si>
  <si>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</si>
  <si>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</si>
  <si>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</si>
  <si>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</si>
  <si>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</si>
  <si>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</si>
  <si>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</si>
  <si>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</si>
  <si>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</si>
  <si>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</si>
  <si>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</si>
  <si>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</si>
  <si>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</si>
  <si>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</si>
  <si>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</si>
  <si>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</si>
  <si>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</si>
  <si>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</si>
  <si>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</si>
  <si>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</si>
  <si>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</si>
  <si>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</si>
  <si>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</si>
  <si>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</si>
  <si>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</si>
  <si>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</si>
  <si>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</si>
  <si>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</si>
  <si>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</si>
  <si>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1/8 Финала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</si>
  <si>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</si>
  <si>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</si>
  <si>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</si>
  <si>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</si>
  <si>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</si>
  <si>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</si>
  <si>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</si>
  <si>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</si>
  <si>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</si>
  <si>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</si>
  <si>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</si>
  <si>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</si>
  <si>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</si>
  <si>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</si>
  <si>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</si>
  <si>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</si>
  <si>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</si>
  <si>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</si>
  <si>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</si>
  <si>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</si>
  <si>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</si>
  <si>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</si>
  <si>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</si>
  <si>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</si>
  <si>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</si>
  <si>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</si>
  <si>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</si>
  <si>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</si>
  <si>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</si>
  <si>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</si>
  <si>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</si>
  <si>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</si>
  <si>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</si>
  <si>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</si>
  <si>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</si>
  <si>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</si>
  <si>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</si>
  <si>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</si>
  <si>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</si>
  <si>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</si>
  <si>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</si>
  <si>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Четвертьфиналы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</si>
  <si>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</si>
  <si>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</si>
  <si>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</si>
  <si>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</si>
  <si>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</si>
  <si>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</si>
  <si>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</si>
  <si>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</si>
  <si>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</si>
  <si>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Чорак финал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</si>
  <si>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</si>
  <si>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</si>
  <si>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</si>
  <si>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</si>
  <si>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</si>
  <si>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</si>
  <si>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</si>
  <si>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</si>
  <si>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</si>
  <si>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</si>
  <si>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</si>
  <si>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</si>
  <si>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</si>
  <si>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</si>
  <si>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</si>
  <si>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</si>
  <si>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</si>
  <si>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</si>
  <si>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</si>
  <si>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</si>
  <si>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</si>
  <si>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</si>
  <si>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</si>
  <si>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</si>
  <si>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</si>
  <si>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</si>
  <si>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</si>
  <si>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</si>
  <si>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</si>
  <si>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Полуфиналы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</si>
  <si>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</si>
  <si>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</si>
  <si>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</si>
  <si>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</si>
  <si>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</si>
  <si>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</si>
  <si>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</si>
  <si>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</si>
  <si>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</si>
  <si>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</si>
  <si>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</si>
  <si>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</si>
  <si>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</si>
  <si>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</si>
  <si>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</si>
  <si>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</si>
  <si>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</si>
  <si>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</si>
  <si>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</si>
  <si>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</si>
  <si>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</si>
  <si>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</si>
  <si>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</si>
  <si>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</si>
  <si>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</si>
  <si>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</si>
  <si>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Noto Sans Devanagari"/>
        <family val="2"/>
        <charset val="1"/>
      </rPr>
      <t xml:space="preserve">מקום </t>
    </r>
    <r>
      <rPr>
        <sz val="11"/>
        <color rgb="FF000000"/>
        <rFont val="Calibri"/>
        <family val="2"/>
        <charset val="1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</si>
  <si>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</si>
  <si>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</si>
  <si>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</si>
  <si>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</si>
  <si>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Droid Sans Fallback"/>
        <family val="2"/>
        <charset val="1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</si>
  <si>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</si>
  <si>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</si>
  <si>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</si>
  <si>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</si>
  <si>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</si>
  <si>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</si>
  <si>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</si>
  <si>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</si>
  <si>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</si>
  <si>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</si>
  <si>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</si>
  <si>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</si>
  <si>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</si>
  <si>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Noto Sans Devanagari"/>
        <family val="2"/>
        <charset val="1"/>
      </rPr>
      <t xml:space="preserve">รอบชิงที่ </t>
    </r>
    <r>
      <rPr>
        <sz val="11"/>
        <color rgb="FF000000"/>
        <rFont val="Calibri"/>
        <family val="2"/>
        <charset val="1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</si>
  <si>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</si>
  <si>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</si>
  <si>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</si>
  <si>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</si>
  <si>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</si>
  <si>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</si>
  <si>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</si>
  <si>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</si>
  <si>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</si>
  <si>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</si>
  <si>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</si>
  <si>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</si>
  <si>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</si>
  <si>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</si>
  <si>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</si>
  <si>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</si>
  <si>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</si>
  <si>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</si>
  <si>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</si>
  <si>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</si>
  <si>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</si>
  <si>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</si>
  <si>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</si>
  <si>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</si>
  <si>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</si>
  <si>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</si>
  <si>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</si>
  <si>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</si>
  <si>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</si>
  <si>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</si>
  <si>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</si>
  <si>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</si>
  <si>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</si>
  <si>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</si>
  <si>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</si>
  <si>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</si>
  <si>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</si>
  <si>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</si>
  <si>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</si>
  <si>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</si>
  <si>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</si>
  <si>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</si>
  <si>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</si>
  <si>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</si>
  <si>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</si>
  <si>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</si>
  <si>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</si>
  <si>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</si>
  <si>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</si>
  <si>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</si>
  <si>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</si>
  <si>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</si>
  <si>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</si>
  <si>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</si>
  <si>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</si>
  <si>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</si>
  <si>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Группа</t>
  </si>
  <si>
    <t xml:space="preserve">สาย</t>
  </si>
  <si>
    <t xml:space="preserve">Bảng</t>
  </si>
  <si>
    <t xml:space="preserve">Гуруҳ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</si>
  <si>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</si>
  <si>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</si>
  <si>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</si>
  <si>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</si>
  <si>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</si>
  <si>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</si>
  <si>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</si>
  <si>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</si>
  <si>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</si>
  <si>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</si>
  <si>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</si>
  <si>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</si>
  <si>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</si>
  <si>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</si>
  <si>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</si>
  <si>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</si>
  <si>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</si>
  <si>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</si>
  <si>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</si>
  <si>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</si>
  <si>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</si>
  <si>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</si>
  <si>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</si>
  <si>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И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</si>
  <si>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</si>
  <si>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</si>
  <si>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</si>
  <si>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</si>
  <si>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</si>
  <si>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</si>
  <si>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Ў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</si>
  <si>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</si>
  <si>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</si>
  <si>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</si>
  <si>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</si>
  <si>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</si>
  <si>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</si>
  <si>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</si>
  <si>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</si>
  <si>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</si>
  <si>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</si>
  <si>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</si>
  <si>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</si>
  <si>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</si>
  <si>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</si>
  <si>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</si>
  <si>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</si>
  <si>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</si>
  <si>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</si>
  <si>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В</t>
  </si>
  <si>
    <t xml:space="preserve">P</t>
  </si>
  <si>
    <t xml:space="preserve">ชนะ</t>
  </si>
  <si>
    <t xml:space="preserve">T</t>
  </si>
  <si>
    <t xml:space="preserve">جیت</t>
  </si>
  <si>
    <t xml:space="preserve">Ю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</si>
  <si>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</si>
  <si>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</si>
  <si>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</si>
  <si>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</si>
  <si>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</si>
  <si>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</si>
  <si>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</si>
  <si>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</si>
  <si>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</si>
  <si>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</si>
  <si>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</si>
  <si>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</si>
  <si>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</si>
  <si>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</si>
  <si>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</si>
  <si>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</si>
  <si>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</si>
  <si>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</si>
  <si>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</si>
  <si>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</si>
  <si>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</si>
  <si>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</si>
  <si>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</si>
  <si>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</si>
  <si>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</si>
  <si>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Д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</si>
  <si>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</si>
  <si>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</si>
  <si>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</si>
  <si>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</si>
  <si>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</si>
  <si>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</si>
  <si>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</si>
  <si>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</si>
  <si>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</si>
  <si>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</si>
  <si>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</si>
  <si>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</si>
  <si>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</si>
  <si>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</si>
  <si>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</si>
  <si>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</si>
  <si>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Noto Sans Devanagari"/>
        <family val="2"/>
        <charset val="1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</si>
  <si>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</si>
  <si>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</si>
  <si>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</si>
  <si>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</si>
  <si>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</si>
  <si>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Droid Sans Fallback"/>
        <family val="2"/>
        <charset val="1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roid Sans Fallback"/>
        <family val="2"/>
        <charset val="1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</si>
  <si>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</si>
  <si>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</si>
  <si>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</si>
  <si>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</si>
  <si>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</si>
  <si>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</si>
  <si>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</si>
  <si>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</si>
  <si>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</si>
  <si>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</si>
  <si>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</si>
  <si>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</si>
  <si>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</si>
  <si>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</si>
  <si>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</si>
  <si>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</si>
  <si>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</si>
  <si>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Noto Sans Devanagari"/>
        <family val="2"/>
        <charset val="1"/>
      </rPr>
      <t xml:space="preserve">خورده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  <charset val="1"/>
      </rPr>
      <t xml:space="preserve"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</si>
  <si>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</si>
  <si>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</si>
  <si>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</si>
  <si>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</si>
  <si>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</si>
  <si>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</si>
  <si>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</si>
  <si>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Noto Sans Devanagari"/>
        <family val="2"/>
        <charset val="1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</si>
  <si>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</si>
  <si>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</si>
  <si>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</si>
  <si>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Noto Sans Devanagari"/>
        <family val="2"/>
        <charset val="1"/>
      </rPr>
      <t xml:space="preserve"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انکے خلاف گول کئے گئے</t>
    </r>
  </si>
  <si>
    <t xml:space="preserve">КиритГол-ЎткГол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</si>
  <si>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</si>
  <si>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</si>
  <si>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</si>
  <si>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</si>
  <si>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</si>
  <si>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</si>
  <si>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</si>
  <si>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</si>
  <si>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</si>
  <si>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</si>
  <si>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</si>
  <si>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</si>
  <si>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</si>
  <si>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</si>
  <si>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</si>
  <si>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</si>
  <si>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Stig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</si>
  <si>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</si>
  <si>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</si>
  <si>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</si>
  <si>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</si>
  <si>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</si>
  <si>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</si>
  <si>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ОЧКИ</t>
  </si>
  <si>
    <t xml:space="preserve">BOD</t>
  </si>
  <si>
    <t xml:space="preserve">คะแนน</t>
  </si>
  <si>
    <t xml:space="preserve">Điểm</t>
  </si>
  <si>
    <t xml:space="preserve">نشان</t>
  </si>
  <si>
    <t xml:space="preserve">Очколар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</si>
  <si>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</si>
  <si>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</si>
  <si>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</si>
  <si>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</si>
  <si>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</si>
  <si>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</si>
  <si>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</si>
  <si>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</si>
  <si>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</si>
  <si>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</si>
  <si>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</si>
  <si>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</si>
  <si>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</si>
  <si>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</si>
  <si>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</si>
  <si>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</si>
  <si>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</si>
  <si>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</si>
  <si>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</si>
  <si>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</si>
  <si>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</si>
  <si>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</si>
  <si>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</si>
  <si>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Вс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</si>
  <si>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</si>
  <si>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</si>
  <si>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</si>
  <si>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</si>
  <si>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</si>
  <si>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</si>
  <si>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Якш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</si>
  <si>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</si>
  <si>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</si>
  <si>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</si>
  <si>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</si>
  <si>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</si>
  <si>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</si>
  <si>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</si>
  <si>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</si>
  <si>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</si>
  <si>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</si>
  <si>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</si>
  <si>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</si>
  <si>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</si>
  <si>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</si>
  <si>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</si>
  <si>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</si>
  <si>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</si>
  <si>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Mán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</si>
  <si>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</si>
  <si>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</si>
  <si>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</si>
  <si>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</si>
  <si>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</si>
  <si>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</si>
  <si>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</si>
  <si>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Пн</t>
  </si>
  <si>
    <t xml:space="preserve">Mån</t>
  </si>
  <si>
    <t xml:space="preserve">จันทร์</t>
  </si>
  <si>
    <t xml:space="preserve">Pzt</t>
  </si>
  <si>
    <t xml:space="preserve">T2</t>
  </si>
  <si>
    <t xml:space="preserve">پیر</t>
  </si>
  <si>
    <t xml:space="preserve">Душ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</si>
  <si>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</si>
  <si>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</si>
  <si>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</si>
  <si>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</si>
  <si>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</si>
  <si>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</si>
  <si>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</si>
  <si>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</si>
  <si>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</si>
  <si>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</si>
  <si>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</si>
  <si>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</si>
  <si>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</si>
  <si>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</si>
  <si>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</si>
  <si>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</si>
  <si>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</si>
  <si>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</si>
  <si>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</si>
  <si>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</si>
  <si>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</si>
  <si>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</si>
  <si>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</si>
  <si>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</si>
  <si>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</si>
  <si>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</si>
  <si>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</si>
  <si>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</si>
  <si>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</si>
  <si>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</si>
  <si>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</si>
  <si>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</si>
  <si>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</si>
  <si>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Сеш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</si>
  <si>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</si>
  <si>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</si>
  <si>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</si>
  <si>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</si>
  <si>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</si>
  <si>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</si>
  <si>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</si>
  <si>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</si>
  <si>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</si>
  <si>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</si>
  <si>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</si>
  <si>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</si>
  <si>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</si>
  <si>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</si>
  <si>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</si>
  <si>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</si>
  <si>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</si>
  <si>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</si>
  <si>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</si>
  <si>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</si>
  <si>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</si>
  <si>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</si>
  <si>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</si>
  <si>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</si>
  <si>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</si>
  <si>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</si>
  <si>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</si>
  <si>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Ср</t>
  </si>
  <si>
    <t xml:space="preserve">Sre</t>
  </si>
  <si>
    <t xml:space="preserve">พุธ</t>
  </si>
  <si>
    <t xml:space="preserve">Çar</t>
  </si>
  <si>
    <t xml:space="preserve">T4</t>
  </si>
  <si>
    <t xml:space="preserve">بدھ</t>
  </si>
  <si>
    <t xml:space="preserve">Чор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</si>
  <si>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</si>
  <si>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</si>
  <si>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</si>
  <si>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</si>
  <si>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</si>
  <si>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</si>
  <si>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</si>
  <si>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</si>
  <si>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</si>
  <si>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</si>
  <si>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</si>
  <si>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</si>
  <si>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</si>
  <si>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</si>
  <si>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</si>
  <si>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</si>
  <si>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</si>
  <si>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</si>
  <si>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</si>
  <si>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</si>
  <si>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</si>
  <si>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</si>
  <si>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</si>
  <si>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</si>
  <si>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</si>
  <si>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</si>
  <si>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</si>
  <si>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Чт</t>
  </si>
  <si>
    <t xml:space="preserve">Št</t>
  </si>
  <si>
    <t xml:space="preserve">พฤหัส</t>
  </si>
  <si>
    <t xml:space="preserve">Per</t>
  </si>
  <si>
    <t xml:space="preserve">T5</t>
  </si>
  <si>
    <t xml:space="preserve">جمعرات</t>
  </si>
  <si>
    <t xml:space="preserve">Пай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</si>
  <si>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</si>
  <si>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</si>
  <si>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</si>
  <si>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</si>
  <si>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</si>
  <si>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</si>
  <si>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</si>
  <si>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</si>
  <si>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</si>
  <si>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</si>
  <si>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</si>
  <si>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</si>
  <si>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</si>
  <si>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</si>
  <si>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</si>
  <si>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</si>
  <si>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</si>
  <si>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</si>
  <si>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</si>
  <si>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</si>
  <si>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</si>
  <si>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</si>
  <si>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</si>
  <si>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</si>
  <si>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</si>
  <si>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</si>
  <si>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Пт</t>
  </si>
  <si>
    <t xml:space="preserve">Pi</t>
  </si>
  <si>
    <t xml:space="preserve">ศุกร์</t>
  </si>
  <si>
    <t xml:space="preserve">Cum</t>
  </si>
  <si>
    <t xml:space="preserve">T6</t>
  </si>
  <si>
    <t xml:space="preserve">جمعہ</t>
  </si>
  <si>
    <t xml:space="preserve">Жума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</si>
  <si>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</si>
  <si>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</si>
  <si>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</si>
  <si>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</si>
  <si>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</si>
  <si>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</si>
  <si>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</si>
  <si>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</si>
  <si>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</si>
  <si>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</si>
  <si>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</si>
  <si>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</si>
  <si>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</si>
  <si>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</si>
  <si>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</si>
  <si>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</si>
  <si>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</si>
  <si>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</si>
  <si>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</si>
  <si>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</si>
  <si>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</si>
  <si>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</si>
  <si>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</si>
  <si>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</si>
  <si>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Сб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</si>
  <si>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</si>
  <si>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</si>
  <si>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</si>
  <si>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</si>
  <si>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</si>
  <si>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سنیچر</t>
  </si>
  <si>
    <t xml:space="preserve">Шанба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</si>
  <si>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</si>
  <si>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</si>
  <si>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</si>
  <si>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</si>
  <si>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</si>
  <si>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</si>
  <si>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</si>
  <si>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</si>
  <si>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</si>
  <si>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</si>
  <si>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</si>
  <si>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</si>
  <si>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</si>
  <si>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</si>
  <si>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</si>
  <si>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</si>
  <si>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</si>
  <si>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</si>
  <si>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Янв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</si>
  <si>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</si>
  <si>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</si>
  <si>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</si>
  <si>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</si>
  <si>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</si>
  <si>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</si>
  <si>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</si>
  <si>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</si>
  <si>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</si>
  <si>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</si>
  <si>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</si>
  <si>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</si>
  <si>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</si>
  <si>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</si>
  <si>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</si>
  <si>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</si>
  <si>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</si>
  <si>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</si>
  <si>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</si>
  <si>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</si>
  <si>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</si>
  <si>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</si>
  <si>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</si>
  <si>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</si>
  <si>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</si>
  <si>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</si>
  <si>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</si>
  <si>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</si>
  <si>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</si>
  <si>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</si>
  <si>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</si>
  <si>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</si>
  <si>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</si>
  <si>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</si>
  <si>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</si>
  <si>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</si>
  <si>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</si>
  <si>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</si>
  <si>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</si>
  <si>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</si>
  <si>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</si>
  <si>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</si>
  <si>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</si>
  <si>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</si>
  <si>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</si>
  <si>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</si>
  <si>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</si>
  <si>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</si>
  <si>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</si>
  <si>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</si>
  <si>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</si>
  <si>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</si>
  <si>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</si>
  <si>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</si>
  <si>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</si>
  <si>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</si>
  <si>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</si>
  <si>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</si>
  <si>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</si>
  <si>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</si>
  <si>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</si>
  <si>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</si>
  <si>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</si>
  <si>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</si>
  <si>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</si>
  <si>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</si>
  <si>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</si>
  <si>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</si>
  <si>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</si>
  <si>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</si>
  <si>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</si>
  <si>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</si>
  <si>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</si>
  <si>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</si>
  <si>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</si>
  <si>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</si>
  <si>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</si>
  <si>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</si>
  <si>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</si>
  <si>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</si>
  <si>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</si>
  <si>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</si>
  <si>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</si>
  <si>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</si>
  <si>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</si>
  <si>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</si>
  <si>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</si>
  <si>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</si>
  <si>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</si>
  <si>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</si>
  <si>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</si>
  <si>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</si>
  <si>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</si>
  <si>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</si>
  <si>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</si>
  <si>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</si>
  <si>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</si>
  <si>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</si>
  <si>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</si>
  <si>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</si>
  <si>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</si>
  <si>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</si>
  <si>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</si>
  <si>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</si>
  <si>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</si>
  <si>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</si>
  <si>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</si>
  <si>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</si>
  <si>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</si>
  <si>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</si>
  <si>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</si>
  <si>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</si>
  <si>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</si>
  <si>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</si>
  <si>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</si>
  <si>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</si>
  <si>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</si>
  <si>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</si>
  <si>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</si>
  <si>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</si>
  <si>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</si>
  <si>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</si>
  <si>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Июн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</si>
  <si>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</si>
  <si>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</si>
  <si>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</si>
  <si>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</si>
  <si>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</si>
  <si>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</si>
  <si>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</si>
  <si>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</si>
  <si>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</si>
  <si>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</si>
  <si>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</si>
  <si>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</si>
  <si>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</si>
  <si>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</si>
  <si>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</si>
  <si>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</si>
  <si>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</si>
  <si>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</si>
  <si>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</si>
  <si>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</si>
  <si>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</si>
  <si>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</si>
  <si>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</si>
  <si>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</si>
  <si>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</si>
  <si>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</si>
  <si>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</si>
  <si>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Июл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</si>
  <si>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</si>
  <si>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</si>
  <si>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</si>
  <si>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</si>
  <si>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</si>
  <si>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</si>
  <si>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</si>
  <si>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</si>
  <si>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</si>
  <si>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</si>
  <si>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</si>
  <si>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</si>
  <si>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</si>
  <si>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</si>
  <si>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</si>
  <si>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</si>
  <si>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</si>
  <si>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</si>
  <si>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</si>
  <si>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</si>
  <si>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</si>
  <si>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</si>
  <si>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</si>
  <si>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</si>
  <si>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</si>
  <si>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</si>
  <si>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</si>
  <si>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</si>
  <si>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</si>
  <si>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</si>
  <si>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</si>
  <si>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</si>
  <si>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</si>
  <si>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</si>
  <si>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</si>
  <si>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</si>
  <si>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</si>
  <si>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</si>
  <si>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</si>
  <si>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</si>
  <si>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</si>
  <si>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</si>
  <si>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</si>
  <si>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</si>
  <si>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</si>
  <si>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</si>
  <si>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</si>
  <si>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</si>
  <si>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</si>
  <si>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</si>
  <si>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</si>
  <si>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Сен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</si>
  <si>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</si>
  <si>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</si>
  <si>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</si>
  <si>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</si>
  <si>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</si>
  <si>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</si>
  <si>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</si>
  <si>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</si>
  <si>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</si>
  <si>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</si>
  <si>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</si>
  <si>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</si>
  <si>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</si>
  <si>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</si>
  <si>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</si>
  <si>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</si>
  <si>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</si>
  <si>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</si>
  <si>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</si>
  <si>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</si>
  <si>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</si>
  <si>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</si>
  <si>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</si>
  <si>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</si>
  <si>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</si>
  <si>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</si>
  <si>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</si>
  <si>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</si>
  <si>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</si>
  <si>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</si>
  <si>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</si>
  <si>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</si>
  <si>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</si>
  <si>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</si>
  <si>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</si>
  <si>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</si>
  <si>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</si>
  <si>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</si>
  <si>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</si>
  <si>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</si>
  <si>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</si>
  <si>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</si>
  <si>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</si>
  <si>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</si>
  <si>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</si>
  <si>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</si>
  <si>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</si>
  <si>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</si>
  <si>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Ноя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</si>
  <si>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</si>
  <si>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</si>
  <si>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</si>
  <si>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</si>
  <si>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</si>
  <si>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</si>
  <si>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</si>
  <si>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</si>
  <si>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</si>
  <si>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</si>
  <si>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</si>
  <si>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</si>
  <si>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</si>
  <si>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</si>
  <si>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</si>
  <si>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</si>
  <si>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</si>
  <si>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</si>
  <si>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</si>
  <si>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</si>
  <si>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</si>
  <si>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</si>
  <si>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</si>
  <si>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</si>
  <si>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</si>
  <si>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</si>
  <si>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</si>
  <si>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</si>
  <si>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</si>
  <si>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</si>
  <si>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</si>
  <si>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</si>
  <si>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</si>
  <si>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</si>
  <si>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</si>
  <si>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</si>
  <si>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</si>
  <si>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</si>
  <si>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</si>
  <si>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</si>
  <si>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</si>
  <si>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</si>
  <si>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</si>
  <si>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</si>
  <si>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</si>
  <si>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</si>
  <si>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</si>
  <si>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</si>
  <si>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</si>
  <si>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Lið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</si>
  <si>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</si>
  <si>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</si>
  <si>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</si>
  <si>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</si>
  <si>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</si>
  <si>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</si>
  <si>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</si>
  <si>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</si>
  <si>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Команда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</si>
  <si>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</si>
  <si>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</si>
  <si>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</si>
  <si>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</si>
  <si>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</si>
  <si>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</si>
  <si>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</si>
  <si>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ٹیم</t>
  </si>
  <si>
    <t xml:space="preserve">Жамоа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</si>
  <si>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</si>
  <si>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</si>
  <si>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</si>
  <si>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</si>
  <si>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</si>
  <si>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</si>
  <si>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</si>
  <si>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</si>
  <si>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</si>
  <si>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</si>
  <si>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</si>
  <si>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</si>
  <si>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</si>
  <si>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</si>
  <si>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</si>
  <si>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</si>
  <si>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</si>
  <si>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</si>
  <si>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</si>
  <si>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</si>
  <si>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</si>
  <si>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</si>
  <si>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</si>
  <si>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</si>
  <si>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Kroatia</t>
  </si>
  <si>
    <t xml:space="preserve">کرواسی</t>
  </si>
  <si>
    <t xml:space="preserve">Chorwacja</t>
  </si>
  <si>
    <t xml:space="preserve">Croácia</t>
  </si>
  <si>
    <t xml:space="preserve">Croația</t>
  </si>
  <si>
    <t xml:space="preserve">Хорватия</t>
  </si>
  <si>
    <t xml:space="preserve">Хрватска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</si>
  <si>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</si>
  <si>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</si>
  <si>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</si>
  <si>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</si>
  <si>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</si>
  <si>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</si>
  <si>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</si>
  <si>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</si>
  <si>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</si>
  <si>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</si>
  <si>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</si>
  <si>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</si>
  <si>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</si>
  <si>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</si>
  <si>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</si>
  <si>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</si>
  <si>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</si>
  <si>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</si>
  <si>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</si>
  <si>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</si>
  <si>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</si>
  <si>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</si>
  <si>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</si>
  <si>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</si>
  <si>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</si>
  <si>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</si>
  <si>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</si>
  <si>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</si>
  <si>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</si>
  <si>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Мексика</t>
  </si>
  <si>
    <t xml:space="preserve">mexico</t>
  </si>
  <si>
    <t xml:space="preserve">ประเทศเม็กซิโก</t>
  </si>
  <si>
    <t xml:space="preserve">میکسیکو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</si>
  <si>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</si>
  <si>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</si>
  <si>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</si>
  <si>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</si>
  <si>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</si>
  <si>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</si>
  <si>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</si>
  <si>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</si>
  <si>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</si>
  <si>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</si>
  <si>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</si>
  <si>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</si>
  <si>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</si>
  <si>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</si>
  <si>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Уругвајската</t>
  </si>
  <si>
    <t xml:space="preserve">Urugwaj</t>
  </si>
  <si>
    <t xml:space="preserve">اروگوئه</t>
  </si>
  <si>
    <t xml:space="preserve">Уругвај</t>
  </si>
  <si>
    <t xml:space="preserve">Uruguaj</t>
  </si>
  <si>
    <t xml:space="preserve">ประเทศอุรุกวัย</t>
  </si>
  <si>
    <t xml:space="preserve">یوراگوئے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</si>
  <si>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</si>
  <si>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</si>
  <si>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</si>
  <si>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</si>
  <si>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</si>
  <si>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</si>
  <si>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</si>
  <si>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</si>
  <si>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</si>
  <si>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</si>
  <si>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</si>
  <si>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</si>
  <si>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</si>
  <si>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</si>
  <si>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</si>
  <si>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</si>
  <si>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</si>
  <si>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</si>
  <si>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</si>
  <si>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</si>
  <si>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</si>
  <si>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</si>
  <si>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</si>
  <si>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</si>
  <si>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</si>
  <si>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</si>
  <si>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</si>
  <si>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</si>
  <si>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</si>
  <si>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</si>
  <si>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</si>
  <si>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</si>
  <si>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</si>
  <si>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</si>
  <si>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</si>
  <si>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</si>
  <si>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</si>
  <si>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</si>
  <si>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</si>
  <si>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</si>
  <si>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</si>
  <si>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</si>
  <si>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</si>
  <si>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</si>
  <si>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</si>
  <si>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</si>
  <si>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</si>
  <si>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</si>
  <si>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</si>
  <si>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</si>
  <si>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</si>
  <si>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</si>
  <si>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</si>
  <si>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</si>
  <si>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</si>
  <si>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Nigeria</t>
  </si>
  <si>
    <t xml:space="preserve">Nigeri</t>
  </si>
  <si>
    <t xml:space="preserve">نيجيريا</t>
  </si>
  <si>
    <t xml:space="preserve">Նիգերիա</t>
  </si>
  <si>
    <t xml:space="preserve">Нигерия</t>
  </si>
  <si>
    <t xml:space="preserve">Nigèria</t>
  </si>
  <si>
    <t xml:space="preserve">尼日利亚</t>
  </si>
  <si>
    <t xml:space="preserve">尼日利亞</t>
  </si>
  <si>
    <t xml:space="preserve">Nigerija</t>
  </si>
  <si>
    <t xml:space="preserve">Nigérie</t>
  </si>
  <si>
    <t xml:space="preserve">ნიგერიის</t>
  </si>
  <si>
    <t xml:space="preserve">Νιγηρία</t>
  </si>
  <si>
    <t xml:space="preserve">ניגריה</t>
  </si>
  <si>
    <t xml:space="preserve">Nigéria</t>
  </si>
  <si>
    <t xml:space="preserve">Nígería</t>
  </si>
  <si>
    <t xml:space="preserve">나이지리아</t>
  </si>
  <si>
    <t xml:space="preserve">Нигерија</t>
  </si>
  <si>
    <t xml:space="preserve">Niġerja</t>
  </si>
  <si>
    <t xml:space="preserve">نیجریه</t>
  </si>
  <si>
    <t xml:space="preserve">ไนจีเรีย</t>
  </si>
  <si>
    <t xml:space="preserve">Nijerya</t>
  </si>
  <si>
    <t xml:space="preserve">Нігерія</t>
  </si>
  <si>
    <t xml:space="preserve"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</si>
  <si>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</si>
  <si>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</si>
  <si>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</si>
  <si>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</si>
  <si>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</si>
  <si>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</si>
  <si>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</si>
  <si>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</si>
  <si>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</si>
  <si>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</si>
  <si>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</si>
  <si>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</si>
  <si>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</si>
  <si>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</si>
  <si>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</si>
  <si>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</si>
  <si>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</si>
  <si>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</si>
  <si>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</si>
  <si>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</si>
  <si>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</si>
  <si>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</si>
  <si>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</si>
  <si>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Кореја Република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</si>
  <si>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</si>
  <si>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</si>
  <si>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</si>
  <si>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</si>
  <si>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</si>
  <si>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</si>
  <si>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</si>
  <si>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</si>
  <si>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</si>
  <si>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</si>
  <si>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</si>
  <si>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</si>
  <si>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</si>
  <si>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</si>
  <si>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</si>
  <si>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</si>
  <si>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</si>
  <si>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</si>
  <si>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</si>
  <si>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</si>
  <si>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</si>
  <si>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</si>
  <si>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</si>
  <si>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</si>
  <si>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</si>
  <si>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</si>
  <si>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</si>
  <si>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</si>
  <si>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</si>
  <si>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</si>
  <si>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</si>
  <si>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</si>
  <si>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</si>
  <si>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</si>
  <si>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</si>
  <si>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</si>
  <si>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</si>
  <si>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</si>
  <si>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</si>
  <si>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</si>
  <si>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</si>
  <si>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Польша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</si>
  <si>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</si>
  <si>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</si>
  <si>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</si>
  <si>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</si>
  <si>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</si>
  <si>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</si>
  <si>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</si>
  <si>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</si>
  <si>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</si>
  <si>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</si>
  <si>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</si>
  <si>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</si>
  <si>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</si>
  <si>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</si>
  <si>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</si>
  <si>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</si>
  <si>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</si>
  <si>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</si>
  <si>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</si>
  <si>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</si>
  <si>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</si>
  <si>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</si>
  <si>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</si>
  <si>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</si>
  <si>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</si>
  <si>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</si>
  <si>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</si>
  <si>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</si>
  <si>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</si>
  <si>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</si>
  <si>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</si>
  <si>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</si>
  <si>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</si>
  <si>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</si>
  <si>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</si>
  <si>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</si>
  <si>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</si>
  <si>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</si>
  <si>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</si>
  <si>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</si>
  <si>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</si>
  <si>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</si>
  <si>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</si>
  <si>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</si>
  <si>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</si>
  <si>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</si>
  <si>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</si>
  <si>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</si>
  <si>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</si>
  <si>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</si>
  <si>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</si>
  <si>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</si>
  <si>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</si>
  <si>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</si>
  <si>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</si>
  <si>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</si>
  <si>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</si>
  <si>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</si>
  <si>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</si>
  <si>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</si>
  <si>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</si>
  <si>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</si>
  <si>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</si>
  <si>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</si>
  <si>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Сербия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</si>
  <si>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</si>
  <si>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</si>
  <si>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</si>
  <si>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</si>
  <si>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Peru</t>
  </si>
  <si>
    <t xml:space="preserve">بيرو</t>
  </si>
  <si>
    <t xml:space="preserve">Պերու</t>
  </si>
  <si>
    <t xml:space="preserve">Перу</t>
  </si>
  <si>
    <t xml:space="preserve">Perú</t>
  </si>
  <si>
    <t xml:space="preserve">秘鲁</t>
  </si>
  <si>
    <t xml:space="preserve">秘魯</t>
  </si>
  <si>
    <t xml:space="preserve">Pérou</t>
  </si>
  <si>
    <t xml:space="preserve">პერუს</t>
  </si>
  <si>
    <t xml:space="preserve">Περού</t>
  </si>
  <si>
    <t xml:space="preserve">פרו</t>
  </si>
  <si>
    <t xml:space="preserve">Perù</t>
  </si>
  <si>
    <t xml:space="preserve">페루</t>
  </si>
  <si>
    <t xml:space="preserve">پرو</t>
  </si>
  <si>
    <t xml:space="preserve">peru</t>
  </si>
  <si>
    <t xml:space="preserve">เปรู</t>
  </si>
  <si>
    <t xml:space="preserve">پیرو</t>
  </si>
  <si>
    <t xml:space="preserve">Russia</t>
  </si>
  <si>
    <t xml:space="preserve">Rusi</t>
  </si>
  <si>
    <t xml:space="preserve">روسيا</t>
  </si>
  <si>
    <t xml:space="preserve">Ռուսաստան</t>
  </si>
  <si>
    <t xml:space="preserve">Rusiya</t>
  </si>
  <si>
    <t xml:space="preserve">Русия</t>
  </si>
  <si>
    <t xml:space="preserve">Rússia</t>
  </si>
  <si>
    <t xml:space="preserve">俄国</t>
  </si>
  <si>
    <t xml:space="preserve">俄國</t>
  </si>
  <si>
    <t xml:space="preserve">Rusija</t>
  </si>
  <si>
    <t xml:space="preserve">Rusko</t>
  </si>
  <si>
    <t xml:space="preserve">Rusland</t>
  </si>
  <si>
    <t xml:space="preserve">Russie</t>
  </si>
  <si>
    <t xml:space="preserve">რუსეთის</t>
  </si>
  <si>
    <t xml:space="preserve">Russland</t>
  </si>
  <si>
    <t xml:space="preserve">Ρωσία</t>
  </si>
  <si>
    <t xml:space="preserve">רוסיה</t>
  </si>
  <si>
    <t xml:space="preserve">Oroszország</t>
  </si>
  <si>
    <t xml:space="preserve">Rusia</t>
  </si>
  <si>
    <t xml:space="preserve">러시아</t>
  </si>
  <si>
    <t xml:space="preserve">Русија</t>
  </si>
  <si>
    <t xml:space="preserve">Russja</t>
  </si>
  <si>
    <t xml:space="preserve">روسیه،</t>
  </si>
  <si>
    <t xml:space="preserve">Rosja</t>
  </si>
  <si>
    <t xml:space="preserve">Россия</t>
  </si>
  <si>
    <t xml:space="preserve">Ryssland</t>
  </si>
  <si>
    <t xml:space="preserve">ประเทศรัสเซีย</t>
  </si>
  <si>
    <t xml:space="preserve">Rusya</t>
  </si>
  <si>
    <t xml:space="preserve">Nga</t>
  </si>
  <si>
    <t xml:space="preserve">Росія</t>
  </si>
  <si>
    <t xml:space="preserve">روس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</si>
  <si>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</si>
  <si>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</si>
  <si>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</si>
  <si>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</si>
  <si>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</si>
  <si>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</si>
  <si>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</si>
  <si>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</si>
  <si>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</si>
  <si>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</si>
  <si>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</si>
  <si>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</si>
  <si>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</si>
  <si>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</si>
  <si>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</si>
  <si>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</si>
  <si>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</si>
  <si>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</si>
  <si>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</si>
  <si>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</si>
  <si>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</si>
  <si>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</si>
  <si>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</si>
  <si>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</si>
  <si>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</si>
  <si>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</si>
  <si>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</si>
  <si>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</si>
  <si>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</si>
  <si>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</si>
  <si>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</si>
  <si>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</si>
  <si>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</si>
  <si>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</si>
  <si>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</si>
  <si>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</si>
  <si>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</si>
  <si>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</si>
  <si>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</si>
  <si>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</si>
  <si>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</si>
  <si>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</si>
  <si>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</si>
  <si>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</si>
  <si>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</si>
  <si>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</si>
  <si>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</si>
  <si>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</si>
  <si>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</si>
  <si>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</si>
  <si>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</si>
  <si>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</si>
  <si>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</si>
  <si>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</si>
  <si>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</si>
  <si>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</si>
  <si>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</si>
  <si>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</si>
  <si>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</si>
  <si>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</si>
  <si>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</si>
  <si>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</si>
  <si>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</si>
  <si>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</si>
  <si>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</si>
  <si>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</si>
  <si>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</si>
  <si>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</si>
  <si>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Colombia</t>
  </si>
  <si>
    <t xml:space="preserve">Kolumbi</t>
  </si>
  <si>
    <t xml:space="preserve">كولومبيا</t>
  </si>
  <si>
    <t xml:space="preserve">Կոլումբիա</t>
  </si>
  <si>
    <t xml:space="preserve">Kolumbiya</t>
  </si>
  <si>
    <t xml:space="preserve">Колумбия</t>
  </si>
  <si>
    <t xml:space="preserve">Colòmbia</t>
  </si>
  <si>
    <t xml:space="preserve">哥伦比亚</t>
  </si>
  <si>
    <t xml:space="preserve">哥倫比亞</t>
  </si>
  <si>
    <t xml:space="preserve">Kolumbija</t>
  </si>
  <si>
    <t xml:space="preserve">Kolumbie</t>
  </si>
  <si>
    <t xml:space="preserve">Colombie</t>
  </si>
  <si>
    <t xml:space="preserve">კოლუმბია</t>
  </si>
  <si>
    <t xml:space="preserve">Kolumbien</t>
  </si>
  <si>
    <t xml:space="preserve">Κολομβία</t>
  </si>
  <si>
    <t xml:space="preserve">קולומביה</t>
  </si>
  <si>
    <t xml:space="preserve">Kolumbia</t>
  </si>
  <si>
    <t xml:space="preserve">콜롬비아</t>
  </si>
  <si>
    <t xml:space="preserve">Колумбија</t>
  </si>
  <si>
    <t xml:space="preserve">Kolombja</t>
  </si>
  <si>
    <t xml:space="preserve">کلمبیا</t>
  </si>
  <si>
    <t xml:space="preserve">Colômbia</t>
  </si>
  <si>
    <t xml:space="preserve">Columbia</t>
  </si>
  <si>
    <t xml:space="preserve">ประเทศโคลอมเบีย</t>
  </si>
  <si>
    <t xml:space="preserve">Kolombiya</t>
  </si>
  <si>
    <t xml:space="preserve">Колумбія</t>
  </si>
  <si>
    <t xml:space="preserve">کولمبیا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</si>
  <si>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</si>
  <si>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</si>
  <si>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</si>
  <si>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</si>
  <si>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</si>
  <si>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</si>
  <si>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</si>
  <si>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</si>
  <si>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</si>
  <si>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</si>
  <si>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</si>
  <si>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</si>
  <si>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</si>
  <si>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</si>
  <si>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</si>
  <si>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</si>
  <si>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</si>
  <si>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</si>
  <si>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</si>
  <si>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</si>
  <si>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</si>
  <si>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</si>
  <si>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</si>
  <si>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</si>
  <si>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</si>
  <si>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</si>
  <si>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</si>
  <si>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</si>
  <si>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</si>
  <si>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</si>
  <si>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Sweden</t>
  </si>
  <si>
    <t xml:space="preserve">Suedi</t>
  </si>
  <si>
    <t xml:space="preserve">السويد</t>
  </si>
  <si>
    <t xml:space="preserve">Շվեդիա</t>
  </si>
  <si>
    <t xml:space="preserve">İsveç</t>
  </si>
  <si>
    <t xml:space="preserve">Швеция</t>
  </si>
  <si>
    <t xml:space="preserve">Suècia</t>
  </si>
  <si>
    <t xml:space="preserve">瑞典</t>
  </si>
  <si>
    <t xml:space="preserve">Švedska</t>
  </si>
  <si>
    <t xml:space="preserve">Švédsko</t>
  </si>
  <si>
    <t xml:space="preserve">Sverige</t>
  </si>
  <si>
    <t xml:space="preserve">Zweden</t>
  </si>
  <si>
    <t xml:space="preserve">Suède</t>
  </si>
  <si>
    <t xml:space="preserve">შვედეთი</t>
  </si>
  <si>
    <t xml:space="preserve">Schweden</t>
  </si>
  <si>
    <t xml:space="preserve">Σουηδία</t>
  </si>
  <si>
    <t xml:space="preserve">שוודיה</t>
  </si>
  <si>
    <t xml:space="preserve">Svédország</t>
  </si>
  <si>
    <t xml:space="preserve">Swedia</t>
  </si>
  <si>
    <t xml:space="preserve">Svíþjóð</t>
  </si>
  <si>
    <t xml:space="preserve">Svezia</t>
  </si>
  <si>
    <t xml:space="preserve">스웨덴</t>
  </si>
  <si>
    <t xml:space="preserve">Švedija</t>
  </si>
  <si>
    <t xml:space="preserve">Шведска</t>
  </si>
  <si>
    <t xml:space="preserve">Isvezja</t>
  </si>
  <si>
    <t xml:space="preserve">سوئد</t>
  </si>
  <si>
    <t xml:space="preserve">Szwecja</t>
  </si>
  <si>
    <t xml:space="preserve">Suécia</t>
  </si>
  <si>
    <t xml:space="preserve">Suedia</t>
  </si>
  <si>
    <t xml:space="preserve">Suecia</t>
  </si>
  <si>
    <t xml:space="preserve">สวีเดน</t>
  </si>
  <si>
    <t xml:space="preserve">Thụy Điển</t>
  </si>
  <si>
    <t xml:space="preserve">Швеція</t>
  </si>
  <si>
    <t xml:space="preserve">سویڈن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</si>
  <si>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</si>
  <si>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</si>
  <si>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</si>
  <si>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</si>
  <si>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</si>
  <si>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</si>
  <si>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</si>
  <si>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</si>
  <si>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</si>
  <si>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</si>
  <si>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</si>
  <si>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</si>
  <si>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</si>
  <si>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</si>
  <si>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</si>
  <si>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</si>
  <si>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Коста-Рика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</si>
  <si>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</si>
  <si>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</si>
  <si>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</si>
  <si>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</si>
  <si>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</si>
  <si>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</si>
  <si>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</si>
  <si>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</si>
  <si>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</si>
  <si>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</si>
  <si>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</si>
  <si>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</si>
  <si>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</si>
  <si>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</si>
  <si>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</si>
  <si>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</si>
  <si>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</si>
  <si>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</si>
  <si>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</si>
  <si>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</si>
  <si>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</si>
  <si>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</si>
  <si>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</si>
  <si>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</si>
  <si>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</si>
  <si>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</si>
  <si>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</si>
  <si>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</si>
  <si>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</si>
  <si>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</si>
  <si>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</si>
  <si>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</si>
  <si>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</si>
  <si>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</si>
  <si>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Iceland</t>
  </si>
  <si>
    <t xml:space="preserve">Islandë</t>
  </si>
  <si>
    <t xml:space="preserve">أيسلندا</t>
  </si>
  <si>
    <t xml:space="preserve">Իսլանդիա</t>
  </si>
  <si>
    <t xml:space="preserve">İslandiya</t>
  </si>
  <si>
    <t xml:space="preserve">Исландия</t>
  </si>
  <si>
    <t xml:space="preserve">Islàndia</t>
  </si>
  <si>
    <t xml:space="preserve">冰岛</t>
  </si>
  <si>
    <t xml:space="preserve">冰島</t>
  </si>
  <si>
    <t xml:space="preserve">Island</t>
  </si>
  <si>
    <t xml:space="preserve">IJsland</t>
  </si>
  <si>
    <t xml:space="preserve">Islande</t>
  </si>
  <si>
    <t xml:space="preserve">ისლანდია</t>
  </si>
  <si>
    <t xml:space="preserve">Ισλανδία</t>
  </si>
  <si>
    <t xml:space="preserve">אִיסלַנד</t>
  </si>
  <si>
    <t xml:space="preserve">Izland</t>
  </si>
  <si>
    <t xml:space="preserve">Islandia</t>
  </si>
  <si>
    <t xml:space="preserve">iceland</t>
  </si>
  <si>
    <t xml:space="preserve">Islanda</t>
  </si>
  <si>
    <t xml:space="preserve">아이슬란드</t>
  </si>
  <si>
    <t xml:space="preserve">Islandija</t>
  </si>
  <si>
    <t xml:space="preserve">Исланд</t>
  </si>
  <si>
    <t xml:space="preserve">ایسلند</t>
  </si>
  <si>
    <t xml:space="preserve">Islândia</t>
  </si>
  <si>
    <t xml:space="preserve">ประเทศไอซ์แลนด์</t>
  </si>
  <si>
    <t xml:space="preserve">İzlanda</t>
  </si>
  <si>
    <t xml:space="preserve">Ісландія</t>
  </si>
  <si>
    <t xml:space="preserve">آیس لینڈ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</si>
  <si>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</si>
  <si>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</si>
  <si>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</si>
  <si>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</si>
  <si>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</si>
  <si>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</si>
  <si>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</si>
  <si>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</si>
  <si>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</si>
  <si>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</si>
  <si>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</si>
  <si>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</si>
  <si>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</si>
  <si>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</si>
  <si>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</si>
  <si>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</si>
  <si>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</si>
  <si>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</si>
  <si>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</si>
  <si>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</si>
  <si>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</si>
  <si>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</si>
  <si>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</si>
  <si>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</si>
  <si>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</si>
  <si>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</si>
  <si>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</si>
  <si>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</si>
  <si>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</si>
  <si>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</si>
  <si>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</si>
  <si>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</si>
  <si>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</si>
  <si>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</si>
  <si>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</si>
  <si>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</si>
  <si>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</si>
  <si>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</si>
  <si>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</si>
  <si>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</si>
  <si>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</si>
  <si>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</si>
  <si>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</si>
  <si>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</si>
  <si>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</si>
  <si>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</si>
  <si>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</si>
  <si>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Egypt</t>
  </si>
  <si>
    <t xml:space="preserve">Egjipt</t>
  </si>
  <si>
    <t xml:space="preserve">مصر</t>
  </si>
  <si>
    <t xml:space="preserve">Եգիպտոս</t>
  </si>
  <si>
    <t xml:space="preserve">Misir</t>
  </si>
  <si>
    <t xml:space="preserve">Египет</t>
  </si>
  <si>
    <t xml:space="preserve">Egipte</t>
  </si>
  <si>
    <t xml:space="preserve">埃及</t>
  </si>
  <si>
    <t xml:space="preserve">Egipat</t>
  </si>
  <si>
    <t xml:space="preserve">Egypten</t>
  </si>
  <si>
    <t xml:space="preserve">Egypte</t>
  </si>
  <si>
    <t xml:space="preserve">ეგვიპტეში</t>
  </si>
  <si>
    <t xml:space="preserve">Ägypten</t>
  </si>
  <si>
    <t xml:space="preserve">Αίγυπτος</t>
  </si>
  <si>
    <t xml:space="preserve">מִצְרַיִם</t>
  </si>
  <si>
    <t xml:space="preserve">Egyiptom</t>
  </si>
  <si>
    <t xml:space="preserve">Mesir</t>
  </si>
  <si>
    <t xml:space="preserve">Egyptaland</t>
  </si>
  <si>
    <t xml:space="preserve">Egitto</t>
  </si>
  <si>
    <t xml:space="preserve">이집트</t>
  </si>
  <si>
    <t xml:space="preserve">Egiptas</t>
  </si>
  <si>
    <t xml:space="preserve">Eġittu</t>
  </si>
  <si>
    <t xml:space="preserve">Egipt</t>
  </si>
  <si>
    <t xml:space="preserve">Egito</t>
  </si>
  <si>
    <t xml:space="preserve">Египат</t>
  </si>
  <si>
    <t xml:space="preserve">Egipto</t>
  </si>
  <si>
    <t xml:space="preserve">อียิปต์</t>
  </si>
  <si>
    <t xml:space="preserve">Mısır</t>
  </si>
  <si>
    <t xml:space="preserve">Ai Cập</t>
  </si>
  <si>
    <t xml:space="preserve">Єгипет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</si>
  <si>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</si>
  <si>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</si>
  <si>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</si>
  <si>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</si>
  <si>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</si>
  <si>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</si>
  <si>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</si>
  <si>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</si>
  <si>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</si>
  <si>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</si>
  <si>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</si>
  <si>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</si>
  <si>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</si>
  <si>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</si>
  <si>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</si>
  <si>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</si>
  <si>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</si>
  <si>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</si>
  <si>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Эрон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</si>
  <si>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</si>
  <si>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</si>
  <si>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</si>
  <si>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</si>
  <si>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</si>
  <si>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</si>
  <si>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</si>
  <si>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</si>
  <si>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</si>
  <si>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</si>
  <si>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</si>
  <si>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</si>
  <si>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</si>
  <si>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</si>
  <si>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</si>
  <si>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</si>
  <si>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</si>
  <si>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</si>
  <si>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</si>
  <si>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</si>
  <si>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</si>
  <si>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</si>
  <si>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</si>
  <si>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</si>
  <si>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</si>
  <si>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</si>
  <si>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</si>
  <si>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</si>
  <si>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</si>
  <si>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</si>
  <si>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</si>
  <si>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</si>
  <si>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</si>
  <si>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</si>
  <si>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</si>
  <si>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</si>
  <si>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</si>
  <si>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</si>
  <si>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</si>
  <si>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</si>
  <si>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</si>
  <si>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</si>
  <si>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</si>
  <si>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</si>
  <si>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</si>
  <si>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</si>
  <si>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</si>
  <si>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Belgia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</si>
  <si>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</si>
  <si>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</si>
  <si>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</si>
  <si>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</si>
  <si>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</si>
  <si>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</si>
  <si>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Бельгия</t>
  </si>
  <si>
    <t xml:space="preserve">Белгија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</si>
  <si>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</si>
  <si>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</si>
  <si>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</si>
  <si>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</si>
  <si>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</si>
  <si>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</si>
  <si>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</si>
  <si>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</si>
  <si>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</si>
  <si>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</si>
  <si>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</si>
  <si>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</si>
  <si>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</si>
  <si>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</si>
  <si>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</si>
  <si>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</si>
  <si>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</si>
  <si>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</si>
  <si>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</si>
  <si>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</si>
  <si>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</si>
  <si>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</si>
  <si>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</si>
  <si>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</si>
  <si>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</si>
  <si>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</si>
  <si>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Марокко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</si>
  <si>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</si>
  <si>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</si>
  <si>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</si>
  <si>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</si>
  <si>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</si>
  <si>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</si>
  <si>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</si>
  <si>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</si>
  <si>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</si>
  <si>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</si>
  <si>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</si>
  <si>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</si>
  <si>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</si>
  <si>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</si>
  <si>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</si>
  <si>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</si>
  <si>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</si>
  <si>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</si>
  <si>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</si>
  <si>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</si>
  <si>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</si>
  <si>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</si>
  <si>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</si>
  <si>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</si>
  <si>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</si>
  <si>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</si>
  <si>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</si>
  <si>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</si>
  <si>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</si>
  <si>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</si>
  <si>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</si>
  <si>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</si>
  <si>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</si>
  <si>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</si>
  <si>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</si>
  <si>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</si>
  <si>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</si>
  <si>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</si>
  <si>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</si>
  <si>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</si>
  <si>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</si>
  <si>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</si>
  <si>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</si>
  <si>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</si>
  <si>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</si>
  <si>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</si>
  <si>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</si>
  <si>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</si>
  <si>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</si>
  <si>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</si>
  <si>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</si>
  <si>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</si>
  <si>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</si>
  <si>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</si>
  <si>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</si>
  <si>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</si>
  <si>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</si>
  <si>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</si>
  <si>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</si>
  <si>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</si>
  <si>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</si>
  <si>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</si>
  <si>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</si>
  <si>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</si>
  <si>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</si>
  <si>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</si>
  <si>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</si>
  <si>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</si>
  <si>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</si>
  <si>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</si>
  <si>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</si>
  <si>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</si>
  <si>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</si>
  <si>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</si>
  <si>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</si>
  <si>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</si>
  <si>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</si>
  <si>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</si>
  <si>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</si>
  <si>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</si>
  <si>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</si>
  <si>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</si>
  <si>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</si>
  <si>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</si>
  <si>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</si>
  <si>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</si>
  <si>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</si>
  <si>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</si>
  <si>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</si>
  <si>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</si>
  <si>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</si>
  <si>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</si>
  <si>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</si>
  <si>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</si>
  <si>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</si>
  <si>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</si>
  <si>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</si>
  <si>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</si>
  <si>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</si>
  <si>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</si>
  <si>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</si>
  <si>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</si>
  <si>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Panama</t>
  </si>
  <si>
    <t xml:space="preserve">بناما</t>
  </si>
  <si>
    <t xml:space="preserve">պանամա</t>
  </si>
  <si>
    <t xml:space="preserve">Панама</t>
  </si>
  <si>
    <t xml:space="preserve">Panamà</t>
  </si>
  <si>
    <t xml:space="preserve">巴拿马</t>
  </si>
  <si>
    <t xml:space="preserve">巴拿馬</t>
  </si>
  <si>
    <t xml:space="preserve">პანამა</t>
  </si>
  <si>
    <t xml:space="preserve">Παναμάς</t>
  </si>
  <si>
    <t xml:space="preserve">פנמה</t>
  </si>
  <si>
    <t xml:space="preserve">파나마</t>
  </si>
  <si>
    <t xml:space="preserve">پاناما</t>
  </si>
  <si>
    <t xml:space="preserve">Panamá</t>
  </si>
  <si>
    <t xml:space="preserve"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</si>
  <si>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</si>
  <si>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</si>
  <si>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</si>
  <si>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</si>
  <si>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</si>
  <si>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</si>
  <si>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</si>
  <si>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</si>
  <si>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</si>
  <si>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</si>
  <si>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</si>
  <si>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</si>
  <si>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</si>
  <si>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</si>
  <si>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</si>
  <si>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</si>
  <si>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</si>
  <si>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</si>
  <si>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</si>
  <si>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</si>
  <si>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</si>
  <si>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</si>
  <si>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</si>
  <si>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</si>
  <si>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</si>
  <si>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</si>
  <si>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</si>
  <si>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</si>
  <si>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</si>
  <si>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</si>
  <si>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</si>
  <si>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</si>
  <si>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</si>
  <si>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</si>
  <si>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</si>
  <si>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</si>
  <si>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</si>
  <si>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</si>
  <si>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</si>
  <si>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</si>
  <si>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</si>
  <si>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</si>
  <si>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</si>
  <si>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</si>
  <si>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</si>
  <si>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</si>
  <si>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</si>
  <si>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</si>
  <si>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</si>
  <si>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</si>
  <si>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</si>
  <si>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</si>
  <si>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</si>
  <si>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</si>
  <si>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</si>
  <si>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</si>
  <si>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</si>
  <si>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</si>
  <si>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</si>
  <si>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</si>
  <si>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</si>
  <si>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</si>
  <si>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</si>
  <si>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</si>
  <si>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</si>
  <si>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</si>
  <si>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</si>
  <si>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1Ċ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</si>
  <si>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</si>
  <si>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</si>
  <si>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</si>
  <si>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</si>
  <si>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</si>
  <si>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</si>
  <si>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</si>
  <si>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2Ċ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</si>
  <si>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</si>
  <si>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</si>
  <si>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</si>
  <si>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</si>
  <si>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</si>
  <si>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</si>
  <si>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</si>
  <si>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</si>
  <si>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</si>
  <si>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</si>
  <si>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</si>
  <si>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</si>
  <si>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</si>
  <si>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</si>
  <si>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</si>
  <si>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</si>
  <si>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</si>
  <si>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</si>
  <si>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</si>
  <si>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</si>
  <si>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</si>
  <si>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</si>
  <si>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</si>
  <si>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</si>
  <si>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</si>
  <si>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</si>
  <si>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</si>
  <si>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</si>
  <si>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</si>
  <si>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</si>
  <si>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</si>
  <si>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</si>
  <si>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</si>
  <si>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</si>
  <si>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</si>
  <si>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</si>
  <si>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</si>
  <si>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</si>
  <si>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</si>
  <si>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</si>
  <si>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</si>
  <si>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</si>
  <si>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</si>
  <si>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</si>
  <si>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</si>
  <si>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</si>
  <si>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</si>
  <si>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</si>
  <si>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</si>
  <si>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1Ġ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</si>
  <si>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</si>
  <si>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</si>
  <si>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</si>
  <si>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</si>
  <si>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</si>
  <si>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</si>
  <si>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</si>
  <si>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2Ġ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</si>
  <si>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</si>
  <si>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</si>
  <si>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</si>
  <si>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</si>
  <si>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</si>
  <si>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</si>
  <si>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1Ħ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</si>
  <si>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</si>
  <si>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</si>
  <si>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</si>
  <si>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</si>
  <si>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</si>
  <si>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</si>
  <si>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</si>
  <si>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</si>
  <si>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</si>
  <si>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</si>
  <si>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</si>
  <si>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</si>
  <si>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</si>
  <si>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</si>
  <si>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</si>
  <si>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</si>
  <si>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</si>
  <si>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</si>
  <si>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</si>
  <si>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</si>
  <si>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</si>
  <si>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</si>
  <si>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49</t>
    </r>
  </si>
  <si>
    <t xml:space="preserve">C49</t>
  </si>
  <si>
    <t xml:space="preserve">P49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</si>
  <si>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</si>
  <si>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</si>
  <si>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</si>
  <si>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</si>
  <si>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</si>
  <si>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</si>
  <si>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</si>
  <si>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</si>
  <si>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</si>
  <si>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</si>
  <si>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</si>
  <si>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</si>
  <si>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</si>
  <si>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</si>
  <si>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</si>
  <si>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</si>
  <si>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</si>
  <si>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50</t>
    </r>
  </si>
  <si>
    <t xml:space="preserve">C50</t>
  </si>
  <si>
    <t xml:space="preserve">P50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</si>
  <si>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</si>
  <si>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</si>
  <si>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</si>
  <si>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</si>
  <si>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</si>
  <si>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</si>
  <si>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</si>
  <si>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</si>
  <si>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</si>
  <si>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</si>
  <si>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</si>
  <si>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</si>
  <si>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</si>
  <si>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</si>
  <si>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</si>
  <si>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</si>
  <si>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</si>
  <si>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51</t>
    </r>
  </si>
  <si>
    <t xml:space="preserve">C51</t>
  </si>
  <si>
    <t xml:space="preserve">P51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</si>
  <si>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</si>
  <si>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</si>
  <si>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</si>
  <si>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</si>
  <si>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</si>
  <si>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</si>
  <si>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</si>
  <si>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</si>
  <si>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</si>
  <si>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</si>
  <si>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</si>
  <si>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</si>
  <si>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</si>
  <si>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</si>
  <si>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</si>
  <si>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</si>
  <si>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</si>
  <si>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52</t>
    </r>
  </si>
  <si>
    <t xml:space="preserve">C52</t>
  </si>
  <si>
    <t xml:space="preserve">P52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</si>
  <si>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</si>
  <si>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</si>
  <si>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</si>
  <si>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</si>
  <si>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</si>
  <si>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</si>
  <si>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</si>
  <si>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</si>
  <si>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</si>
  <si>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</si>
  <si>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</si>
  <si>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</si>
  <si>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</si>
  <si>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</si>
  <si>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</si>
  <si>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</si>
  <si>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</si>
  <si>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53</t>
    </r>
  </si>
  <si>
    <t xml:space="preserve">C53</t>
  </si>
  <si>
    <t xml:space="preserve">P53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</si>
  <si>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</si>
  <si>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</si>
  <si>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</si>
  <si>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</si>
  <si>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</si>
  <si>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</si>
  <si>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</si>
  <si>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</si>
  <si>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</si>
  <si>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</si>
  <si>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</si>
  <si>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</si>
  <si>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</si>
  <si>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</si>
  <si>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</si>
  <si>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</si>
  <si>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</si>
  <si>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54</t>
    </r>
  </si>
  <si>
    <t xml:space="preserve">C54</t>
  </si>
  <si>
    <t xml:space="preserve">P54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</si>
  <si>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</si>
  <si>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</si>
  <si>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</si>
  <si>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</si>
  <si>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</si>
  <si>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</si>
  <si>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</si>
  <si>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</si>
  <si>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</si>
  <si>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</si>
  <si>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</si>
  <si>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</si>
  <si>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</si>
  <si>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</si>
  <si>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</si>
  <si>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</si>
  <si>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</si>
  <si>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55</t>
    </r>
  </si>
  <si>
    <t xml:space="preserve">C55</t>
  </si>
  <si>
    <t xml:space="preserve">P55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</si>
  <si>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</si>
  <si>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</si>
  <si>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</si>
  <si>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</si>
  <si>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</si>
  <si>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</si>
  <si>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</si>
  <si>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</si>
  <si>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</si>
  <si>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</si>
  <si>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</si>
  <si>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</si>
  <si>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</si>
  <si>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</si>
  <si>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</si>
  <si>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</si>
  <si>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</si>
  <si>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56</t>
    </r>
  </si>
  <si>
    <t xml:space="preserve">C56</t>
  </si>
  <si>
    <t xml:space="preserve">P56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</si>
  <si>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</si>
  <si>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</si>
  <si>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</si>
  <si>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</si>
  <si>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</si>
  <si>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</si>
  <si>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</si>
  <si>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</si>
  <si>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</si>
  <si>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</si>
  <si>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</si>
  <si>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</si>
  <si>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</si>
  <si>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</si>
  <si>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</si>
  <si>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</si>
  <si>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</si>
  <si>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57</t>
    </r>
  </si>
  <si>
    <t xml:space="preserve">C57</t>
  </si>
  <si>
    <t xml:space="preserve">P57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</si>
  <si>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</si>
  <si>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</si>
  <si>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</si>
  <si>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</si>
  <si>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</si>
  <si>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</si>
  <si>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</si>
  <si>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</si>
  <si>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</si>
  <si>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</si>
  <si>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</si>
  <si>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</si>
  <si>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</si>
  <si>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</si>
  <si>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</si>
  <si>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</si>
  <si>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</si>
  <si>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58</t>
    </r>
  </si>
  <si>
    <t xml:space="preserve">C58</t>
  </si>
  <si>
    <t xml:space="preserve">P58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</si>
  <si>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</si>
  <si>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</si>
  <si>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</si>
  <si>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</si>
  <si>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</si>
  <si>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</si>
  <si>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</si>
  <si>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</si>
  <si>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</si>
  <si>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</si>
  <si>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</si>
  <si>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</si>
  <si>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</si>
  <si>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</si>
  <si>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</si>
  <si>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</si>
  <si>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</si>
  <si>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59</t>
    </r>
  </si>
  <si>
    <t xml:space="preserve">C59</t>
  </si>
  <si>
    <t xml:space="preserve">P59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</si>
  <si>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</si>
  <si>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</si>
  <si>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</si>
  <si>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</si>
  <si>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</si>
  <si>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</si>
  <si>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</si>
  <si>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</si>
  <si>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</si>
  <si>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</si>
  <si>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</si>
  <si>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</si>
  <si>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</si>
  <si>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</si>
  <si>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</si>
  <si>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</si>
  <si>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</si>
  <si>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60</t>
    </r>
  </si>
  <si>
    <t xml:space="preserve">C60</t>
  </si>
  <si>
    <t xml:space="preserve">P60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</si>
  <si>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</si>
  <si>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</si>
  <si>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</si>
  <si>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</si>
  <si>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</si>
  <si>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</si>
  <si>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</si>
  <si>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</si>
  <si>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</si>
  <si>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</si>
  <si>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</si>
  <si>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</si>
  <si>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</si>
  <si>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</si>
  <si>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</si>
  <si>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</si>
  <si>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</si>
  <si>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</si>
  <si>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C61</t>
  </si>
  <si>
    <t xml:space="preserve">P61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</si>
  <si>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</si>
  <si>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</si>
  <si>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</si>
  <si>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</si>
  <si>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</si>
  <si>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</si>
  <si>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</si>
  <si>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</si>
  <si>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</si>
  <si>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</si>
  <si>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</si>
  <si>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</si>
  <si>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</si>
  <si>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</si>
  <si>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</si>
  <si>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</si>
  <si>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</si>
  <si>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</si>
  <si>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C62</t>
  </si>
  <si>
    <t xml:space="preserve">P62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</si>
  <si>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</si>
  <si>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</si>
  <si>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</si>
  <si>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</si>
  <si>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</si>
  <si>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</si>
  <si>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</si>
  <si>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</si>
  <si>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</si>
  <si>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</si>
  <si>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И61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</si>
  <si>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</si>
  <si>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I61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</si>
  <si>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</si>
  <si>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</si>
  <si>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</si>
  <si>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</si>
  <si>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</si>
  <si>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</si>
  <si>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</si>
  <si>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</si>
  <si>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</si>
  <si>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</si>
  <si>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И62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</si>
  <si>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</si>
  <si>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I62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</si>
  <si>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</si>
  <si>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</si>
  <si>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</si>
  <si>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</si>
  <si>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</si>
  <si>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</si>
  <si>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sz val="11"/>
        <color rgb="FF000000"/>
        <rFont val="Noto Sans Devanagari"/>
        <family val="2"/>
        <charset val="1"/>
      </rPr>
      <t xml:space="preserve">بطل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</si>
  <si>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</si>
  <si>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</si>
  <si>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</si>
  <si>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</si>
  <si>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</si>
  <si>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</si>
  <si>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</si>
  <si>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</si>
  <si>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</si>
  <si>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</si>
  <si>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</si>
  <si>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</si>
  <si>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</si>
  <si>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sz val="11"/>
        <color rgb="FF000000"/>
        <rFont val="Noto Sans Devanagari"/>
        <family val="2"/>
        <charset val="1"/>
      </rPr>
      <t xml:space="preserve">גביע העולם </t>
    </r>
    <r>
      <rPr>
        <sz val="11"/>
        <color rgb="FF000000"/>
        <rFont val="Calibri"/>
        <family val="2"/>
        <charset val="1"/>
      </rPr>
      <t xml:space="preserve"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</si>
  <si>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</si>
  <si>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</si>
  <si>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</si>
  <si>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</si>
  <si>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</si>
  <si>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</si>
  <si>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</si>
  <si>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</si>
  <si>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</si>
  <si>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sz val="11"/>
        <color rgb="FF000000"/>
        <rFont val="Noto Sans Devanagari"/>
        <family val="2"/>
        <charset val="1"/>
      </rPr>
      <t xml:space="preserve">قهرمان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</si>
  <si>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</si>
  <si>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</si>
  <si>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</si>
  <si>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</si>
  <si>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</si>
  <si>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</si>
  <si>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</si>
  <si>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</si>
  <si>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</si>
  <si>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sz val="11"/>
        <color rgb="FF000000"/>
        <rFont val="Noto Sans Devanagari"/>
        <family val="2"/>
        <charset val="1"/>
      </rPr>
      <t xml:space="preserve">แชมป์โลกปี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</si>
  <si>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</si>
  <si>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</si>
  <si>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</si>
  <si>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</si>
  <si>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</si>
  <si>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</si>
  <si>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</si>
  <si>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</si>
  <si>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</si>
  <si>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</si>
  <si>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</si>
  <si>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</si>
  <si>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</si>
  <si>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</si>
  <si>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</si>
  <si>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</si>
  <si>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</si>
  <si>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</si>
  <si>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</si>
  <si>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</si>
  <si>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</si>
  <si>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</si>
  <si>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</si>
  <si>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</si>
  <si>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</si>
  <si>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</si>
  <si>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</si>
  <si>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</si>
  <si>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</si>
  <si>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</si>
  <si>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</si>
  <si>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</si>
  <si>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</si>
  <si>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</si>
  <si>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</si>
  <si>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</si>
  <si>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ru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</si>
  <si>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</si>
  <si>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</si>
  <si>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</si>
  <si>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</si>
  <si>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</si>
  <si>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</si>
  <si>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</si>
  <si>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</si>
  <si>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</si>
  <si>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</si>
  <si>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</si>
  <si>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</si>
  <si>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</si>
  <si>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</si>
  <si>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</si>
  <si>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</si>
  <si>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</si>
  <si>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</si>
  <si>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</si>
  <si>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</si>
  <si>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</si>
  <si>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</si>
  <si>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</si>
  <si>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</si>
  <si>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</si>
  <si>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</si>
  <si>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</si>
  <si>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</si>
  <si>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</si>
  <si>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</si>
  <si>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</si>
  <si>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</si>
  <si>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</si>
  <si>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</si>
  <si>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</si>
  <si>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</si>
  <si>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</si>
  <si>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</si>
  <si>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</si>
  <si>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</si>
  <si>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</si>
  <si>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</si>
  <si>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</si>
  <si>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</si>
  <si>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</si>
  <si>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</si>
  <si>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</si>
  <si>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</si>
  <si>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</si>
  <si>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</si>
  <si>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</si>
  <si>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</si>
  <si>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</si>
  <si>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</si>
  <si>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</si>
  <si>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</si>
  <si>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</si>
  <si>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</si>
  <si>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</si>
  <si>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</si>
  <si>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</si>
  <si>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</si>
  <si>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</si>
  <si>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</si>
  <si>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</si>
  <si>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</si>
  <si>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</si>
  <si>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</si>
  <si>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</si>
  <si>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FIFA World Cup
Historical Data
1930 - 2014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</si>
</sst>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&quot;;&quot;&quot;;&quot;&quot;;&quot;&quot;"/>
    <numFmt numFmtId="166" formatCode="H:MM;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Devanagari"/>
      <family val="2"/>
      <charset val="1"/>
    </font>
    <font>
      <sz val="11"/>
      <color rgb="FF000000"/>
      <name val="Droid Sans Fallback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8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FFFFFF"/>
      <name val="Calibri"/>
      <family val="2"/>
      <charset val="1"/>
    </font>
    <font>
      <sz val="3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sz val="16"/>
      <color rgb="FFFFFFFF"/>
      <name val="Calibri"/>
      <family val="2"/>
      <charset val="1"/>
    </font>
    <font>
      <sz val="14"/>
      <color rgb="FF0000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6"/>
      <name val="Calibri"/>
      <family val="2"/>
      <charset val="1"/>
    </font>
    <font>
      <u val="single"/>
      <sz val="1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2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2" borderId="1" xfId="21" applyFont="true" applyBorder="false" applyAlignment="true" applyProtection="true">
      <alignment horizontal="left" vertical="center" textRotation="0" wrapText="false" indent="15" shrinkToFit="false"/>
      <protection locked="fals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5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18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3" xfId="0" applyFont="tru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25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0" fillId="7" borderId="2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9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31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7" fillId="5" borderId="3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5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3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3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39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4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43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6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9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5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8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2" fillId="6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7" borderId="4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0" fillId="7" borderId="60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left" vertical="center" textRotation="0" wrapText="false" indent="15" shrinkToFit="tru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00"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3.png"/><Relationship Id="rId2" Type="http://schemas.openxmlformats.org/officeDocument/2006/relationships/image" Target="../media/image194.png"/><Relationship Id="rId3" Type="http://schemas.openxmlformats.org/officeDocument/2006/relationships/image" Target="../media/image195.png"/><Relationship Id="rId4" Type="http://schemas.openxmlformats.org/officeDocument/2006/relationships/image" Target="../media/image196.png"/><Relationship Id="rId5" Type="http://schemas.openxmlformats.org/officeDocument/2006/relationships/image" Target="../media/image197.png"/><Relationship Id="rId6" Type="http://schemas.openxmlformats.org/officeDocument/2006/relationships/image" Target="../media/image198.png"/><Relationship Id="rId7" Type="http://schemas.openxmlformats.org/officeDocument/2006/relationships/image" Target="../media/image199.png"/><Relationship Id="rId8" Type="http://schemas.openxmlformats.org/officeDocument/2006/relationships/image" Target="../media/image200.png"/><Relationship Id="rId9" Type="http://schemas.openxmlformats.org/officeDocument/2006/relationships/image" Target="../media/image201.png"/><Relationship Id="rId10" Type="http://schemas.openxmlformats.org/officeDocument/2006/relationships/image" Target="../media/image202.png"/><Relationship Id="rId11" Type="http://schemas.openxmlformats.org/officeDocument/2006/relationships/image" Target="../media/image203.png"/><Relationship Id="rId12" Type="http://schemas.openxmlformats.org/officeDocument/2006/relationships/image" Target="../media/image204.png"/><Relationship Id="rId13" Type="http://schemas.openxmlformats.org/officeDocument/2006/relationships/image" Target="../media/image205.png"/><Relationship Id="rId14" Type="http://schemas.openxmlformats.org/officeDocument/2006/relationships/image" Target="../media/image206.png"/><Relationship Id="rId15" Type="http://schemas.openxmlformats.org/officeDocument/2006/relationships/image" Target="../media/image207.png"/><Relationship Id="rId16" Type="http://schemas.openxmlformats.org/officeDocument/2006/relationships/image" Target="../media/image208.png"/><Relationship Id="rId17" Type="http://schemas.openxmlformats.org/officeDocument/2006/relationships/image" Target="../media/image209.png"/><Relationship Id="rId18" Type="http://schemas.openxmlformats.org/officeDocument/2006/relationships/image" Target="../media/image210.png"/><Relationship Id="rId19" Type="http://schemas.openxmlformats.org/officeDocument/2006/relationships/image" Target="../media/image211.png"/><Relationship Id="rId20" Type="http://schemas.openxmlformats.org/officeDocument/2006/relationships/image" Target="../media/image212.png"/><Relationship Id="rId21" Type="http://schemas.openxmlformats.org/officeDocument/2006/relationships/image" Target="../media/image213.png"/><Relationship Id="rId22" Type="http://schemas.openxmlformats.org/officeDocument/2006/relationships/image" Target="../media/image214.png"/><Relationship Id="rId23" Type="http://schemas.openxmlformats.org/officeDocument/2006/relationships/image" Target="../media/image215.png"/><Relationship Id="rId24" Type="http://schemas.openxmlformats.org/officeDocument/2006/relationships/image" Target="../media/image216.png"/><Relationship Id="rId25" Type="http://schemas.openxmlformats.org/officeDocument/2006/relationships/image" Target="../media/image217.png"/><Relationship Id="rId26" Type="http://schemas.openxmlformats.org/officeDocument/2006/relationships/image" Target="../media/image218.png"/><Relationship Id="rId27" Type="http://schemas.openxmlformats.org/officeDocument/2006/relationships/image" Target="../media/image219.png"/><Relationship Id="rId28" Type="http://schemas.openxmlformats.org/officeDocument/2006/relationships/image" Target="../media/image220.png"/><Relationship Id="rId29" Type="http://schemas.openxmlformats.org/officeDocument/2006/relationships/image" Target="../media/image221.png"/><Relationship Id="rId30" Type="http://schemas.openxmlformats.org/officeDocument/2006/relationships/image" Target="../media/image222.png"/><Relationship Id="rId31" Type="http://schemas.openxmlformats.org/officeDocument/2006/relationships/image" Target="../media/image223.png"/><Relationship Id="rId32" Type="http://schemas.openxmlformats.org/officeDocument/2006/relationships/image" Target="../media/image224.png"/><Relationship Id="rId33" Type="http://schemas.openxmlformats.org/officeDocument/2006/relationships/image" Target="../media/image225.png"/><Relationship Id="rId34" Type="http://schemas.openxmlformats.org/officeDocument/2006/relationships/image" Target="../media/image226.png"/><Relationship Id="rId35" Type="http://schemas.openxmlformats.org/officeDocument/2006/relationships/image" Target="../media/image227.png"/><Relationship Id="rId36" Type="http://schemas.openxmlformats.org/officeDocument/2006/relationships/image" Target="../media/image228.png"/><Relationship Id="rId37" Type="http://schemas.openxmlformats.org/officeDocument/2006/relationships/image" Target="../media/image229.png"/><Relationship Id="rId38" Type="http://schemas.openxmlformats.org/officeDocument/2006/relationships/image" Target="../media/image230.png"/><Relationship Id="rId39" Type="http://schemas.openxmlformats.org/officeDocument/2006/relationships/image" Target="../media/image231.png"/><Relationship Id="rId40" Type="http://schemas.openxmlformats.org/officeDocument/2006/relationships/image" Target="../media/image232.png"/><Relationship Id="rId41" Type="http://schemas.openxmlformats.org/officeDocument/2006/relationships/image" Target="../media/image233.png"/><Relationship Id="rId42" Type="http://schemas.openxmlformats.org/officeDocument/2006/relationships/image" Target="../media/image234.png"/><Relationship Id="rId43" Type="http://schemas.openxmlformats.org/officeDocument/2006/relationships/image" Target="../media/image235.png"/><Relationship Id="rId44" Type="http://schemas.openxmlformats.org/officeDocument/2006/relationships/image" Target="../media/image236.png"/><Relationship Id="rId45" Type="http://schemas.openxmlformats.org/officeDocument/2006/relationships/image" Target="../media/image237.png"/><Relationship Id="rId46" Type="http://schemas.openxmlformats.org/officeDocument/2006/relationships/image" Target="../media/image238.png"/><Relationship Id="rId47" Type="http://schemas.openxmlformats.org/officeDocument/2006/relationships/image" Target="../media/image239.png"/><Relationship Id="rId48" Type="http://schemas.openxmlformats.org/officeDocument/2006/relationships/image" Target="../media/image240.png"/><Relationship Id="rId49" Type="http://schemas.openxmlformats.org/officeDocument/2006/relationships/image" Target="../media/image241.png"/><Relationship Id="rId50" Type="http://schemas.openxmlformats.org/officeDocument/2006/relationships/image" Target="../media/image242.png"/><Relationship Id="rId51" Type="http://schemas.openxmlformats.org/officeDocument/2006/relationships/image" Target="../media/image243.png"/><Relationship Id="rId52" Type="http://schemas.openxmlformats.org/officeDocument/2006/relationships/image" Target="../media/image244.png"/><Relationship Id="rId53" Type="http://schemas.openxmlformats.org/officeDocument/2006/relationships/image" Target="../media/image245.png"/><Relationship Id="rId54" Type="http://schemas.openxmlformats.org/officeDocument/2006/relationships/image" Target="../media/image246.png"/><Relationship Id="rId55" Type="http://schemas.openxmlformats.org/officeDocument/2006/relationships/image" Target="../media/image247.png"/><Relationship Id="rId56" Type="http://schemas.openxmlformats.org/officeDocument/2006/relationships/image" Target="../media/image248.png"/><Relationship Id="rId57" Type="http://schemas.openxmlformats.org/officeDocument/2006/relationships/image" Target="../media/image249.png"/><Relationship Id="rId58" Type="http://schemas.openxmlformats.org/officeDocument/2006/relationships/image" Target="../media/image250.png"/><Relationship Id="rId59" Type="http://schemas.openxmlformats.org/officeDocument/2006/relationships/image" Target="../media/image251.png"/><Relationship Id="rId60" Type="http://schemas.openxmlformats.org/officeDocument/2006/relationships/image" Target="../media/image252.png"/><Relationship Id="rId61" Type="http://schemas.openxmlformats.org/officeDocument/2006/relationships/image" Target="../media/image253.png"/><Relationship Id="rId62" Type="http://schemas.openxmlformats.org/officeDocument/2006/relationships/image" Target="../media/image254.png"/><Relationship Id="rId63" Type="http://schemas.openxmlformats.org/officeDocument/2006/relationships/image" Target="../media/image255.png"/><Relationship Id="rId64" Type="http://schemas.openxmlformats.org/officeDocument/2006/relationships/image" Target="../media/image256.png"/><Relationship Id="rId65" Type="http://schemas.openxmlformats.org/officeDocument/2006/relationships/image" Target="../media/image257.png"/><Relationship Id="rId66" Type="http://schemas.openxmlformats.org/officeDocument/2006/relationships/image" Target="../media/image258.png"/><Relationship Id="rId67" Type="http://schemas.openxmlformats.org/officeDocument/2006/relationships/image" Target="../media/image259.png"/><Relationship Id="rId68" Type="http://schemas.openxmlformats.org/officeDocument/2006/relationships/image" Target="../media/image260.png"/><Relationship Id="rId69" Type="http://schemas.openxmlformats.org/officeDocument/2006/relationships/image" Target="../media/image261.png"/><Relationship Id="rId70" Type="http://schemas.openxmlformats.org/officeDocument/2006/relationships/image" Target="../media/image262.png"/><Relationship Id="rId71" Type="http://schemas.openxmlformats.org/officeDocument/2006/relationships/image" Target="../media/image263.png"/><Relationship Id="rId72" Type="http://schemas.openxmlformats.org/officeDocument/2006/relationships/image" Target="../media/image264.png"/><Relationship Id="rId73" Type="http://schemas.openxmlformats.org/officeDocument/2006/relationships/image" Target="../media/image265.png"/><Relationship Id="rId74" Type="http://schemas.openxmlformats.org/officeDocument/2006/relationships/image" Target="../media/image266.png"/><Relationship Id="rId75" Type="http://schemas.openxmlformats.org/officeDocument/2006/relationships/image" Target="../media/image267.png"/><Relationship Id="rId76" Type="http://schemas.openxmlformats.org/officeDocument/2006/relationships/image" Target="../media/image268.png"/><Relationship Id="rId77" Type="http://schemas.openxmlformats.org/officeDocument/2006/relationships/image" Target="../media/image269.png"/><Relationship Id="rId78" Type="http://schemas.openxmlformats.org/officeDocument/2006/relationships/image" Target="../media/image270.png"/><Relationship Id="rId79" Type="http://schemas.openxmlformats.org/officeDocument/2006/relationships/image" Target="../media/image271.png"/><Relationship Id="rId80" Type="http://schemas.openxmlformats.org/officeDocument/2006/relationships/image" Target="../media/image272.png"/><Relationship Id="rId81" Type="http://schemas.openxmlformats.org/officeDocument/2006/relationships/image" Target="../media/image273.png"/><Relationship Id="rId82" Type="http://schemas.openxmlformats.org/officeDocument/2006/relationships/image" Target="../media/image274.png"/><Relationship Id="rId83" Type="http://schemas.openxmlformats.org/officeDocument/2006/relationships/image" Target="../media/image275.png"/><Relationship Id="rId84" Type="http://schemas.openxmlformats.org/officeDocument/2006/relationships/image" Target="../media/image276.png"/><Relationship Id="rId85" Type="http://schemas.openxmlformats.org/officeDocument/2006/relationships/image" Target="../media/image277.png"/><Relationship Id="rId86" Type="http://schemas.openxmlformats.org/officeDocument/2006/relationships/image" Target="../media/image278.png"/><Relationship Id="rId87" Type="http://schemas.openxmlformats.org/officeDocument/2006/relationships/image" Target="../media/image279.png"/><Relationship Id="rId88" Type="http://schemas.openxmlformats.org/officeDocument/2006/relationships/image" Target="../media/image280.png"/><Relationship Id="rId89" Type="http://schemas.openxmlformats.org/officeDocument/2006/relationships/image" Target="../media/image281.png"/><Relationship Id="rId90" Type="http://schemas.openxmlformats.org/officeDocument/2006/relationships/image" Target="../media/image282.png"/><Relationship Id="rId91" Type="http://schemas.openxmlformats.org/officeDocument/2006/relationships/image" Target="../media/image283.png"/><Relationship Id="rId92" Type="http://schemas.openxmlformats.org/officeDocument/2006/relationships/image" Target="../media/image284.png"/><Relationship Id="rId93" Type="http://schemas.openxmlformats.org/officeDocument/2006/relationships/image" Target="../media/image285.png"/><Relationship Id="rId94" Type="http://schemas.openxmlformats.org/officeDocument/2006/relationships/image" Target="../media/image286.png"/><Relationship Id="rId95" Type="http://schemas.openxmlformats.org/officeDocument/2006/relationships/image" Target="../media/image287.png"/><Relationship Id="rId96" Type="http://schemas.openxmlformats.org/officeDocument/2006/relationships/image" Target="../media/image28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1261800</xdr:colOff>
      <xdr:row>6</xdr:row>
      <xdr:rowOff>22680</xdr:rowOff>
    </xdr:from>
    <xdr:to>
      <xdr:col>4</xdr:col>
      <xdr:colOff>1487160</xdr:colOff>
      <xdr:row>6</xdr:row>
      <xdr:rowOff>170640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927240" y="1232280"/>
          <a:ext cx="22536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22</xdr:row>
      <xdr:rowOff>18720</xdr:rowOff>
    </xdr:from>
    <xdr:to>
      <xdr:col>4</xdr:col>
      <xdr:colOff>1487160</xdr:colOff>
      <xdr:row>22</xdr:row>
      <xdr:rowOff>166680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3927240" y="4276080"/>
          <a:ext cx="22536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38</xdr:row>
      <xdr:rowOff>18720</xdr:rowOff>
    </xdr:from>
    <xdr:to>
      <xdr:col>7</xdr:col>
      <xdr:colOff>248760</xdr:colOff>
      <xdr:row>38</xdr:row>
      <xdr:rowOff>166680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56880" y="7324200"/>
          <a:ext cx="22536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6</xdr:row>
      <xdr:rowOff>22680</xdr:rowOff>
    </xdr:from>
    <xdr:to>
      <xdr:col>7</xdr:col>
      <xdr:colOff>245880</xdr:colOff>
      <xdr:row>6</xdr:row>
      <xdr:rowOff>172080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5456880" y="12322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23</xdr:row>
      <xdr:rowOff>22680</xdr:rowOff>
    </xdr:from>
    <xdr:to>
      <xdr:col>7</xdr:col>
      <xdr:colOff>245880</xdr:colOff>
      <xdr:row>23</xdr:row>
      <xdr:rowOff>172080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5456880" y="44708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39</xdr:row>
      <xdr:rowOff>23400</xdr:rowOff>
    </xdr:from>
    <xdr:to>
      <xdr:col>4</xdr:col>
      <xdr:colOff>1484280</xdr:colOff>
      <xdr:row>39</xdr:row>
      <xdr:rowOff>172800</xdr:rowOff>
    </xdr:to>
    <xdr:pic>
      <xdr:nvPicPr>
        <xdr:cNvPr id="5" name="Picture 10" descr=""/>
        <xdr:cNvPicPr/>
      </xdr:nvPicPr>
      <xdr:blipFill>
        <a:blip r:embed="rId6"/>
        <a:stretch/>
      </xdr:blipFill>
      <xdr:spPr>
        <a:xfrm>
          <a:off x="3927240" y="75193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7</xdr:row>
      <xdr:rowOff>22680</xdr:rowOff>
    </xdr:from>
    <xdr:to>
      <xdr:col>4</xdr:col>
      <xdr:colOff>1484280</xdr:colOff>
      <xdr:row>7</xdr:row>
      <xdr:rowOff>172080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3927240" y="14227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28080</xdr:colOff>
      <xdr:row>22</xdr:row>
      <xdr:rowOff>23400</xdr:rowOff>
    </xdr:from>
    <xdr:to>
      <xdr:col>7</xdr:col>
      <xdr:colOff>250560</xdr:colOff>
      <xdr:row>22</xdr:row>
      <xdr:rowOff>172800</xdr:rowOff>
    </xdr:to>
    <xdr:pic>
      <xdr:nvPicPr>
        <xdr:cNvPr id="7" name="Picture 13" descr=""/>
        <xdr:cNvPicPr/>
      </xdr:nvPicPr>
      <xdr:blipFill>
        <a:blip r:embed="rId8"/>
        <a:stretch/>
      </xdr:blipFill>
      <xdr:spPr>
        <a:xfrm>
          <a:off x="5461560" y="42807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39</xdr:row>
      <xdr:rowOff>23400</xdr:rowOff>
    </xdr:from>
    <xdr:to>
      <xdr:col>7</xdr:col>
      <xdr:colOff>245880</xdr:colOff>
      <xdr:row>39</xdr:row>
      <xdr:rowOff>172800</xdr:rowOff>
    </xdr:to>
    <xdr:pic>
      <xdr:nvPicPr>
        <xdr:cNvPr id="8" name="Picture 14" descr=""/>
        <xdr:cNvPicPr/>
      </xdr:nvPicPr>
      <xdr:blipFill>
        <a:blip r:embed="rId9"/>
        <a:stretch/>
      </xdr:blipFill>
      <xdr:spPr>
        <a:xfrm>
          <a:off x="5456880" y="75193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7</xdr:row>
      <xdr:rowOff>31680</xdr:rowOff>
    </xdr:from>
    <xdr:to>
      <xdr:col>7</xdr:col>
      <xdr:colOff>241200</xdr:colOff>
      <xdr:row>7</xdr:row>
      <xdr:rowOff>181080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5452200" y="14317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23</xdr:row>
      <xdr:rowOff>36360</xdr:rowOff>
    </xdr:from>
    <xdr:to>
      <xdr:col>4</xdr:col>
      <xdr:colOff>1484280</xdr:colOff>
      <xdr:row>23</xdr:row>
      <xdr:rowOff>185760</xdr:rowOff>
    </xdr:to>
    <xdr:pic>
      <xdr:nvPicPr>
        <xdr:cNvPr id="10" name="Picture 17" descr=""/>
        <xdr:cNvPicPr/>
      </xdr:nvPicPr>
      <xdr:blipFill>
        <a:blip r:embed="rId11"/>
        <a:stretch/>
      </xdr:blipFill>
      <xdr:spPr>
        <a:xfrm>
          <a:off x="3927240" y="44845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38</xdr:row>
      <xdr:rowOff>28080</xdr:rowOff>
    </xdr:from>
    <xdr:to>
      <xdr:col>4</xdr:col>
      <xdr:colOff>1484280</xdr:colOff>
      <xdr:row>38</xdr:row>
      <xdr:rowOff>177480</xdr:rowOff>
    </xdr:to>
    <xdr:pic>
      <xdr:nvPicPr>
        <xdr:cNvPr id="11" name="Picture 18" descr=""/>
        <xdr:cNvPicPr/>
      </xdr:nvPicPr>
      <xdr:blipFill>
        <a:blip r:embed="rId12"/>
        <a:stretch/>
      </xdr:blipFill>
      <xdr:spPr>
        <a:xfrm>
          <a:off x="3927240" y="73335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8</xdr:row>
      <xdr:rowOff>23400</xdr:rowOff>
    </xdr:from>
    <xdr:to>
      <xdr:col>4</xdr:col>
      <xdr:colOff>1484280</xdr:colOff>
      <xdr:row>8</xdr:row>
      <xdr:rowOff>172800</xdr:rowOff>
    </xdr:to>
    <xdr:pic>
      <xdr:nvPicPr>
        <xdr:cNvPr id="12" name="Picture 16" descr=""/>
        <xdr:cNvPicPr/>
      </xdr:nvPicPr>
      <xdr:blipFill>
        <a:blip r:embed="rId13"/>
        <a:stretch/>
      </xdr:blipFill>
      <xdr:spPr>
        <a:xfrm>
          <a:off x="3927240" y="16138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24</xdr:row>
      <xdr:rowOff>22680</xdr:rowOff>
    </xdr:from>
    <xdr:to>
      <xdr:col>4</xdr:col>
      <xdr:colOff>1484280</xdr:colOff>
      <xdr:row>24</xdr:row>
      <xdr:rowOff>172080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3927240" y="46612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40</xdr:row>
      <xdr:rowOff>23400</xdr:rowOff>
    </xdr:from>
    <xdr:to>
      <xdr:col>7</xdr:col>
      <xdr:colOff>245880</xdr:colOff>
      <xdr:row>40</xdr:row>
      <xdr:rowOff>172800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456880" y="77097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8</xdr:row>
      <xdr:rowOff>23400</xdr:rowOff>
    </xdr:from>
    <xdr:to>
      <xdr:col>7</xdr:col>
      <xdr:colOff>241200</xdr:colOff>
      <xdr:row>8</xdr:row>
      <xdr:rowOff>172800</xdr:rowOff>
    </xdr:to>
    <xdr:pic>
      <xdr:nvPicPr>
        <xdr:cNvPr id="15" name="Picture 20" descr=""/>
        <xdr:cNvPicPr/>
      </xdr:nvPicPr>
      <xdr:blipFill>
        <a:blip r:embed="rId16"/>
        <a:stretch/>
      </xdr:blipFill>
      <xdr:spPr>
        <a:xfrm>
          <a:off x="5452200" y="16138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25</xdr:row>
      <xdr:rowOff>27360</xdr:rowOff>
    </xdr:from>
    <xdr:to>
      <xdr:col>7</xdr:col>
      <xdr:colOff>245880</xdr:colOff>
      <xdr:row>25</xdr:row>
      <xdr:rowOff>176760</xdr:rowOff>
    </xdr:to>
    <xdr:pic>
      <xdr:nvPicPr>
        <xdr:cNvPr id="16" name="Picture 25" descr=""/>
        <xdr:cNvPicPr/>
      </xdr:nvPicPr>
      <xdr:blipFill>
        <a:blip r:embed="rId17"/>
        <a:stretch/>
      </xdr:blipFill>
      <xdr:spPr>
        <a:xfrm>
          <a:off x="5456880" y="485640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41</xdr:row>
      <xdr:rowOff>22680</xdr:rowOff>
    </xdr:from>
    <xdr:to>
      <xdr:col>4</xdr:col>
      <xdr:colOff>1479600</xdr:colOff>
      <xdr:row>41</xdr:row>
      <xdr:rowOff>172080</xdr:rowOff>
    </xdr:to>
    <xdr:pic>
      <xdr:nvPicPr>
        <xdr:cNvPr id="17" name="Picture 26" descr=""/>
        <xdr:cNvPicPr/>
      </xdr:nvPicPr>
      <xdr:blipFill>
        <a:blip r:embed="rId18"/>
        <a:stretch/>
      </xdr:blipFill>
      <xdr:spPr>
        <a:xfrm>
          <a:off x="3922560" y="78998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41</xdr:row>
      <xdr:rowOff>27360</xdr:rowOff>
    </xdr:from>
    <xdr:to>
      <xdr:col>7</xdr:col>
      <xdr:colOff>241200</xdr:colOff>
      <xdr:row>41</xdr:row>
      <xdr:rowOff>176760</xdr:rowOff>
    </xdr:to>
    <xdr:pic>
      <xdr:nvPicPr>
        <xdr:cNvPr id="18" name="Picture 24" descr=""/>
        <xdr:cNvPicPr/>
      </xdr:nvPicPr>
      <xdr:blipFill>
        <a:blip r:embed="rId19"/>
        <a:stretch/>
      </xdr:blipFill>
      <xdr:spPr>
        <a:xfrm>
          <a:off x="5452200" y="79045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24</xdr:row>
      <xdr:rowOff>22680</xdr:rowOff>
    </xdr:from>
    <xdr:to>
      <xdr:col>7</xdr:col>
      <xdr:colOff>245880</xdr:colOff>
      <xdr:row>24</xdr:row>
      <xdr:rowOff>172080</xdr:rowOff>
    </xdr:to>
    <xdr:pic>
      <xdr:nvPicPr>
        <xdr:cNvPr id="19" name="Picture 29" descr=""/>
        <xdr:cNvPicPr/>
      </xdr:nvPicPr>
      <xdr:blipFill>
        <a:blip r:embed="rId20"/>
        <a:stretch/>
      </xdr:blipFill>
      <xdr:spPr>
        <a:xfrm>
          <a:off x="5456880" y="46612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9</xdr:row>
      <xdr:rowOff>18720</xdr:rowOff>
    </xdr:from>
    <xdr:to>
      <xdr:col>4</xdr:col>
      <xdr:colOff>1484280</xdr:colOff>
      <xdr:row>9</xdr:row>
      <xdr:rowOff>168120</xdr:rowOff>
    </xdr:to>
    <xdr:pic>
      <xdr:nvPicPr>
        <xdr:cNvPr id="20" name="Picture 30" descr=""/>
        <xdr:cNvPicPr/>
      </xdr:nvPicPr>
      <xdr:blipFill>
        <a:blip r:embed="rId21"/>
        <a:stretch/>
      </xdr:blipFill>
      <xdr:spPr>
        <a:xfrm>
          <a:off x="3927240" y="17996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9</xdr:row>
      <xdr:rowOff>23400</xdr:rowOff>
    </xdr:from>
    <xdr:to>
      <xdr:col>7</xdr:col>
      <xdr:colOff>241200</xdr:colOff>
      <xdr:row>9</xdr:row>
      <xdr:rowOff>172800</xdr:rowOff>
    </xdr:to>
    <xdr:pic>
      <xdr:nvPicPr>
        <xdr:cNvPr id="21" name="Picture 28" descr=""/>
        <xdr:cNvPicPr/>
      </xdr:nvPicPr>
      <xdr:blipFill>
        <a:blip r:embed="rId22"/>
        <a:stretch/>
      </xdr:blipFill>
      <xdr:spPr>
        <a:xfrm>
          <a:off x="5452200" y="18043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25</xdr:row>
      <xdr:rowOff>18000</xdr:rowOff>
    </xdr:from>
    <xdr:to>
      <xdr:col>4</xdr:col>
      <xdr:colOff>1484280</xdr:colOff>
      <xdr:row>25</xdr:row>
      <xdr:rowOff>167400</xdr:rowOff>
    </xdr:to>
    <xdr:pic>
      <xdr:nvPicPr>
        <xdr:cNvPr id="22" name="Picture 33" descr=""/>
        <xdr:cNvPicPr/>
      </xdr:nvPicPr>
      <xdr:blipFill>
        <a:blip r:embed="rId23"/>
        <a:stretch/>
      </xdr:blipFill>
      <xdr:spPr>
        <a:xfrm>
          <a:off x="3927240" y="48470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40</xdr:row>
      <xdr:rowOff>18720</xdr:rowOff>
    </xdr:from>
    <xdr:to>
      <xdr:col>4</xdr:col>
      <xdr:colOff>1484280</xdr:colOff>
      <xdr:row>40</xdr:row>
      <xdr:rowOff>168120</xdr:rowOff>
    </xdr:to>
    <xdr:pic>
      <xdr:nvPicPr>
        <xdr:cNvPr id="23" name="Picture 34" descr=""/>
        <xdr:cNvPicPr/>
      </xdr:nvPicPr>
      <xdr:blipFill>
        <a:blip r:embed="rId24"/>
        <a:stretch/>
      </xdr:blipFill>
      <xdr:spPr>
        <a:xfrm>
          <a:off x="3927240" y="77050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10</xdr:row>
      <xdr:rowOff>23400</xdr:rowOff>
    </xdr:from>
    <xdr:to>
      <xdr:col>4</xdr:col>
      <xdr:colOff>1484280</xdr:colOff>
      <xdr:row>10</xdr:row>
      <xdr:rowOff>172800</xdr:rowOff>
    </xdr:to>
    <xdr:pic>
      <xdr:nvPicPr>
        <xdr:cNvPr id="24" name="Picture 32" descr=""/>
        <xdr:cNvPicPr/>
      </xdr:nvPicPr>
      <xdr:blipFill>
        <a:blip r:embed="rId25"/>
        <a:stretch/>
      </xdr:blipFill>
      <xdr:spPr>
        <a:xfrm>
          <a:off x="3927240" y="19947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26</xdr:row>
      <xdr:rowOff>23400</xdr:rowOff>
    </xdr:from>
    <xdr:to>
      <xdr:col>4</xdr:col>
      <xdr:colOff>1484280</xdr:colOff>
      <xdr:row>26</xdr:row>
      <xdr:rowOff>172800</xdr:rowOff>
    </xdr:to>
    <xdr:pic>
      <xdr:nvPicPr>
        <xdr:cNvPr id="25" name="Picture 37" descr=""/>
        <xdr:cNvPicPr/>
      </xdr:nvPicPr>
      <xdr:blipFill>
        <a:blip r:embed="rId26"/>
        <a:stretch/>
      </xdr:blipFill>
      <xdr:spPr>
        <a:xfrm>
          <a:off x="3927240" y="50428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42</xdr:row>
      <xdr:rowOff>22680</xdr:rowOff>
    </xdr:from>
    <xdr:to>
      <xdr:col>7</xdr:col>
      <xdr:colOff>241200</xdr:colOff>
      <xdr:row>42</xdr:row>
      <xdr:rowOff>172080</xdr:rowOff>
    </xdr:to>
    <xdr:pic>
      <xdr:nvPicPr>
        <xdr:cNvPr id="26" name="Picture 38" descr=""/>
        <xdr:cNvPicPr/>
      </xdr:nvPicPr>
      <xdr:blipFill>
        <a:blip r:embed="rId27"/>
        <a:stretch/>
      </xdr:blipFill>
      <xdr:spPr>
        <a:xfrm>
          <a:off x="5452200" y="80902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10</xdr:row>
      <xdr:rowOff>23400</xdr:rowOff>
    </xdr:from>
    <xdr:to>
      <xdr:col>7</xdr:col>
      <xdr:colOff>241200</xdr:colOff>
      <xdr:row>10</xdr:row>
      <xdr:rowOff>172800</xdr:rowOff>
    </xdr:to>
    <xdr:pic>
      <xdr:nvPicPr>
        <xdr:cNvPr id="27" name="Picture 36" descr=""/>
        <xdr:cNvPicPr/>
      </xdr:nvPicPr>
      <xdr:blipFill>
        <a:blip r:embed="rId28"/>
        <a:stretch/>
      </xdr:blipFill>
      <xdr:spPr>
        <a:xfrm>
          <a:off x="5452200" y="19947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27</xdr:row>
      <xdr:rowOff>18720</xdr:rowOff>
    </xdr:from>
    <xdr:to>
      <xdr:col>7</xdr:col>
      <xdr:colOff>241200</xdr:colOff>
      <xdr:row>27</xdr:row>
      <xdr:rowOff>168120</xdr:rowOff>
    </xdr:to>
    <xdr:pic>
      <xdr:nvPicPr>
        <xdr:cNvPr id="28" name="Picture 41" descr=""/>
        <xdr:cNvPicPr/>
      </xdr:nvPicPr>
      <xdr:blipFill>
        <a:blip r:embed="rId29"/>
        <a:stretch/>
      </xdr:blipFill>
      <xdr:spPr>
        <a:xfrm>
          <a:off x="5452200" y="52286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43</xdr:row>
      <xdr:rowOff>18000</xdr:rowOff>
    </xdr:from>
    <xdr:to>
      <xdr:col>4</xdr:col>
      <xdr:colOff>1479600</xdr:colOff>
      <xdr:row>43</xdr:row>
      <xdr:rowOff>167400</xdr:rowOff>
    </xdr:to>
    <xdr:pic>
      <xdr:nvPicPr>
        <xdr:cNvPr id="29" name="Picture 42" descr=""/>
        <xdr:cNvPicPr/>
      </xdr:nvPicPr>
      <xdr:blipFill>
        <a:blip r:embed="rId30"/>
        <a:stretch/>
      </xdr:blipFill>
      <xdr:spPr>
        <a:xfrm>
          <a:off x="3922560" y="82760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11</xdr:row>
      <xdr:rowOff>22680</xdr:rowOff>
    </xdr:from>
    <xdr:to>
      <xdr:col>4</xdr:col>
      <xdr:colOff>1484280</xdr:colOff>
      <xdr:row>11</xdr:row>
      <xdr:rowOff>172080</xdr:rowOff>
    </xdr:to>
    <xdr:pic>
      <xdr:nvPicPr>
        <xdr:cNvPr id="30" name="Picture 40" descr=""/>
        <xdr:cNvPicPr/>
      </xdr:nvPicPr>
      <xdr:blipFill>
        <a:blip r:embed="rId31"/>
        <a:stretch/>
      </xdr:blipFill>
      <xdr:spPr>
        <a:xfrm>
          <a:off x="3927240" y="21848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26</xdr:row>
      <xdr:rowOff>23400</xdr:rowOff>
    </xdr:from>
    <xdr:to>
      <xdr:col>7</xdr:col>
      <xdr:colOff>245880</xdr:colOff>
      <xdr:row>26</xdr:row>
      <xdr:rowOff>172800</xdr:rowOff>
    </xdr:to>
    <xdr:pic>
      <xdr:nvPicPr>
        <xdr:cNvPr id="31" name="Picture 45" descr=""/>
        <xdr:cNvPicPr/>
      </xdr:nvPicPr>
      <xdr:blipFill>
        <a:blip r:embed="rId32"/>
        <a:stretch/>
      </xdr:blipFill>
      <xdr:spPr>
        <a:xfrm>
          <a:off x="5456880" y="50428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43</xdr:row>
      <xdr:rowOff>18000</xdr:rowOff>
    </xdr:from>
    <xdr:to>
      <xdr:col>7</xdr:col>
      <xdr:colOff>241200</xdr:colOff>
      <xdr:row>43</xdr:row>
      <xdr:rowOff>167400</xdr:rowOff>
    </xdr:to>
    <xdr:pic>
      <xdr:nvPicPr>
        <xdr:cNvPr id="32" name="Picture 46" descr=""/>
        <xdr:cNvPicPr/>
      </xdr:nvPicPr>
      <xdr:blipFill>
        <a:blip r:embed="rId33"/>
        <a:stretch/>
      </xdr:blipFill>
      <xdr:spPr>
        <a:xfrm>
          <a:off x="5452200" y="82760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11</xdr:row>
      <xdr:rowOff>18000</xdr:rowOff>
    </xdr:from>
    <xdr:to>
      <xdr:col>7</xdr:col>
      <xdr:colOff>241200</xdr:colOff>
      <xdr:row>11</xdr:row>
      <xdr:rowOff>167400</xdr:rowOff>
    </xdr:to>
    <xdr:pic>
      <xdr:nvPicPr>
        <xdr:cNvPr id="33" name="Picture 44" descr=""/>
        <xdr:cNvPicPr/>
      </xdr:nvPicPr>
      <xdr:blipFill>
        <a:blip r:embed="rId34"/>
        <a:stretch/>
      </xdr:blipFill>
      <xdr:spPr>
        <a:xfrm>
          <a:off x="5452200" y="21801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27</xdr:row>
      <xdr:rowOff>18720</xdr:rowOff>
    </xdr:from>
    <xdr:to>
      <xdr:col>4</xdr:col>
      <xdr:colOff>1484280</xdr:colOff>
      <xdr:row>27</xdr:row>
      <xdr:rowOff>168120</xdr:rowOff>
    </xdr:to>
    <xdr:pic>
      <xdr:nvPicPr>
        <xdr:cNvPr id="34" name="Picture 49" descr=""/>
        <xdr:cNvPicPr/>
      </xdr:nvPicPr>
      <xdr:blipFill>
        <a:blip r:embed="rId35"/>
        <a:stretch/>
      </xdr:blipFill>
      <xdr:spPr>
        <a:xfrm>
          <a:off x="3927240" y="52286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42</xdr:row>
      <xdr:rowOff>18000</xdr:rowOff>
    </xdr:from>
    <xdr:to>
      <xdr:col>4</xdr:col>
      <xdr:colOff>1479600</xdr:colOff>
      <xdr:row>42</xdr:row>
      <xdr:rowOff>167400</xdr:rowOff>
    </xdr:to>
    <xdr:pic>
      <xdr:nvPicPr>
        <xdr:cNvPr id="35" name="Picture 50" descr=""/>
        <xdr:cNvPicPr/>
      </xdr:nvPicPr>
      <xdr:blipFill>
        <a:blip r:embed="rId36"/>
        <a:stretch/>
      </xdr:blipFill>
      <xdr:spPr>
        <a:xfrm>
          <a:off x="3922560" y="808560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12</xdr:row>
      <xdr:rowOff>18000</xdr:rowOff>
    </xdr:from>
    <xdr:to>
      <xdr:col>4</xdr:col>
      <xdr:colOff>1484280</xdr:colOff>
      <xdr:row>12</xdr:row>
      <xdr:rowOff>167400</xdr:rowOff>
    </xdr:to>
    <xdr:pic>
      <xdr:nvPicPr>
        <xdr:cNvPr id="36" name="Picture 48" descr=""/>
        <xdr:cNvPicPr/>
      </xdr:nvPicPr>
      <xdr:blipFill>
        <a:blip r:embed="rId37"/>
        <a:stretch/>
      </xdr:blipFill>
      <xdr:spPr>
        <a:xfrm>
          <a:off x="3927240" y="237060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28</xdr:row>
      <xdr:rowOff>23400</xdr:rowOff>
    </xdr:from>
    <xdr:to>
      <xdr:col>4</xdr:col>
      <xdr:colOff>1484280</xdr:colOff>
      <xdr:row>28</xdr:row>
      <xdr:rowOff>172800</xdr:rowOff>
    </xdr:to>
    <xdr:pic>
      <xdr:nvPicPr>
        <xdr:cNvPr id="37" name="Picture 53" descr=""/>
        <xdr:cNvPicPr/>
      </xdr:nvPicPr>
      <xdr:blipFill>
        <a:blip r:embed="rId38"/>
        <a:stretch/>
      </xdr:blipFill>
      <xdr:spPr>
        <a:xfrm>
          <a:off x="3927240" y="54237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44</xdr:row>
      <xdr:rowOff>18720</xdr:rowOff>
    </xdr:from>
    <xdr:to>
      <xdr:col>7</xdr:col>
      <xdr:colOff>245880</xdr:colOff>
      <xdr:row>44</xdr:row>
      <xdr:rowOff>168120</xdr:rowOff>
    </xdr:to>
    <xdr:pic>
      <xdr:nvPicPr>
        <xdr:cNvPr id="38" name="Picture 54" descr=""/>
        <xdr:cNvPicPr/>
      </xdr:nvPicPr>
      <xdr:blipFill>
        <a:blip r:embed="rId39"/>
        <a:stretch/>
      </xdr:blipFill>
      <xdr:spPr>
        <a:xfrm>
          <a:off x="5456880" y="846720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12</xdr:row>
      <xdr:rowOff>22680</xdr:rowOff>
    </xdr:from>
    <xdr:to>
      <xdr:col>7</xdr:col>
      <xdr:colOff>245880</xdr:colOff>
      <xdr:row>12</xdr:row>
      <xdr:rowOff>172080</xdr:rowOff>
    </xdr:to>
    <xdr:pic>
      <xdr:nvPicPr>
        <xdr:cNvPr id="39" name="Picture 52" descr=""/>
        <xdr:cNvPicPr/>
      </xdr:nvPicPr>
      <xdr:blipFill>
        <a:blip r:embed="rId40"/>
        <a:stretch/>
      </xdr:blipFill>
      <xdr:spPr>
        <a:xfrm>
          <a:off x="5456880" y="23752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45</xdr:row>
      <xdr:rowOff>23400</xdr:rowOff>
    </xdr:from>
    <xdr:to>
      <xdr:col>4</xdr:col>
      <xdr:colOff>1479600</xdr:colOff>
      <xdr:row>45</xdr:row>
      <xdr:rowOff>172800</xdr:rowOff>
    </xdr:to>
    <xdr:pic>
      <xdr:nvPicPr>
        <xdr:cNvPr id="40" name="Picture 57" descr=""/>
        <xdr:cNvPicPr/>
      </xdr:nvPicPr>
      <xdr:blipFill>
        <a:blip r:embed="rId41"/>
        <a:stretch/>
      </xdr:blipFill>
      <xdr:spPr>
        <a:xfrm>
          <a:off x="3922560" y="86623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29</xdr:row>
      <xdr:rowOff>22680</xdr:rowOff>
    </xdr:from>
    <xdr:to>
      <xdr:col>7</xdr:col>
      <xdr:colOff>241200</xdr:colOff>
      <xdr:row>29</xdr:row>
      <xdr:rowOff>172080</xdr:rowOff>
    </xdr:to>
    <xdr:pic>
      <xdr:nvPicPr>
        <xdr:cNvPr id="41" name="Picture 58" descr=""/>
        <xdr:cNvPicPr/>
      </xdr:nvPicPr>
      <xdr:blipFill>
        <a:blip r:embed="rId42"/>
        <a:stretch/>
      </xdr:blipFill>
      <xdr:spPr>
        <a:xfrm>
          <a:off x="5452200" y="56138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13</xdr:row>
      <xdr:rowOff>22680</xdr:rowOff>
    </xdr:from>
    <xdr:to>
      <xdr:col>4</xdr:col>
      <xdr:colOff>1484280</xdr:colOff>
      <xdr:row>13</xdr:row>
      <xdr:rowOff>172080</xdr:rowOff>
    </xdr:to>
    <xdr:pic>
      <xdr:nvPicPr>
        <xdr:cNvPr id="42" name="Picture 56" descr=""/>
        <xdr:cNvPicPr/>
      </xdr:nvPicPr>
      <xdr:blipFill>
        <a:blip r:embed="rId43"/>
        <a:stretch/>
      </xdr:blipFill>
      <xdr:spPr>
        <a:xfrm>
          <a:off x="3927240" y="25657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28</xdr:row>
      <xdr:rowOff>18000</xdr:rowOff>
    </xdr:from>
    <xdr:to>
      <xdr:col>7</xdr:col>
      <xdr:colOff>240480</xdr:colOff>
      <xdr:row>28</xdr:row>
      <xdr:rowOff>167400</xdr:rowOff>
    </xdr:to>
    <xdr:pic>
      <xdr:nvPicPr>
        <xdr:cNvPr id="43" name="Picture 61" descr=""/>
        <xdr:cNvPicPr/>
      </xdr:nvPicPr>
      <xdr:blipFill>
        <a:blip r:embed="rId44"/>
        <a:stretch/>
      </xdr:blipFill>
      <xdr:spPr>
        <a:xfrm>
          <a:off x="5451480" y="54183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22320</xdr:colOff>
      <xdr:row>45</xdr:row>
      <xdr:rowOff>18000</xdr:rowOff>
    </xdr:from>
    <xdr:to>
      <xdr:col>7</xdr:col>
      <xdr:colOff>244800</xdr:colOff>
      <xdr:row>45</xdr:row>
      <xdr:rowOff>167400</xdr:rowOff>
    </xdr:to>
    <xdr:pic>
      <xdr:nvPicPr>
        <xdr:cNvPr id="44" name="Picture 62" descr=""/>
        <xdr:cNvPicPr/>
      </xdr:nvPicPr>
      <xdr:blipFill>
        <a:blip r:embed="rId45"/>
        <a:stretch/>
      </xdr:blipFill>
      <xdr:spPr>
        <a:xfrm>
          <a:off x="5455800" y="86569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13</xdr:row>
      <xdr:rowOff>21600</xdr:rowOff>
    </xdr:from>
    <xdr:to>
      <xdr:col>7</xdr:col>
      <xdr:colOff>240480</xdr:colOff>
      <xdr:row>13</xdr:row>
      <xdr:rowOff>171000</xdr:rowOff>
    </xdr:to>
    <xdr:pic>
      <xdr:nvPicPr>
        <xdr:cNvPr id="45" name="Picture 60" descr=""/>
        <xdr:cNvPicPr/>
      </xdr:nvPicPr>
      <xdr:blipFill>
        <a:blip r:embed="rId46"/>
        <a:stretch/>
      </xdr:blipFill>
      <xdr:spPr>
        <a:xfrm>
          <a:off x="5451480" y="25646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1260720</xdr:colOff>
      <xdr:row>29</xdr:row>
      <xdr:rowOff>21600</xdr:rowOff>
    </xdr:from>
    <xdr:to>
      <xdr:col>4</xdr:col>
      <xdr:colOff>1483200</xdr:colOff>
      <xdr:row>29</xdr:row>
      <xdr:rowOff>171000</xdr:rowOff>
    </xdr:to>
    <xdr:pic>
      <xdr:nvPicPr>
        <xdr:cNvPr id="46" name="Picture 65" descr=""/>
        <xdr:cNvPicPr/>
      </xdr:nvPicPr>
      <xdr:blipFill>
        <a:blip r:embed="rId47"/>
        <a:stretch/>
      </xdr:blipFill>
      <xdr:spPr>
        <a:xfrm>
          <a:off x="3926160" y="56127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44</xdr:row>
      <xdr:rowOff>18000</xdr:rowOff>
    </xdr:from>
    <xdr:to>
      <xdr:col>4</xdr:col>
      <xdr:colOff>1478880</xdr:colOff>
      <xdr:row>44</xdr:row>
      <xdr:rowOff>167400</xdr:rowOff>
    </xdr:to>
    <xdr:pic>
      <xdr:nvPicPr>
        <xdr:cNvPr id="47" name="Picture 66" descr=""/>
        <xdr:cNvPicPr/>
      </xdr:nvPicPr>
      <xdr:blipFill>
        <a:blip r:embed="rId48"/>
        <a:stretch/>
      </xdr:blipFill>
      <xdr:spPr>
        <a:xfrm>
          <a:off x="3921840" y="84664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14</xdr:row>
      <xdr:rowOff>24480</xdr:rowOff>
    </xdr:from>
    <xdr:to>
      <xdr:col>4</xdr:col>
      <xdr:colOff>1480680</xdr:colOff>
      <xdr:row>14</xdr:row>
      <xdr:rowOff>173880</xdr:rowOff>
    </xdr:to>
    <xdr:pic>
      <xdr:nvPicPr>
        <xdr:cNvPr id="48" name="Picture 64" descr=""/>
        <xdr:cNvPicPr/>
      </xdr:nvPicPr>
      <xdr:blipFill>
        <a:blip r:embed="rId49"/>
        <a:stretch/>
      </xdr:blipFill>
      <xdr:spPr>
        <a:xfrm>
          <a:off x="3923640" y="27579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30</xdr:row>
      <xdr:rowOff>19080</xdr:rowOff>
    </xdr:from>
    <xdr:to>
      <xdr:col>4</xdr:col>
      <xdr:colOff>1485360</xdr:colOff>
      <xdr:row>30</xdr:row>
      <xdr:rowOff>168480</xdr:rowOff>
    </xdr:to>
    <xdr:pic>
      <xdr:nvPicPr>
        <xdr:cNvPr id="49" name="Picture 69" descr=""/>
        <xdr:cNvPicPr/>
      </xdr:nvPicPr>
      <xdr:blipFill>
        <a:blip r:embed="rId50"/>
        <a:stretch/>
      </xdr:blipFill>
      <xdr:spPr>
        <a:xfrm>
          <a:off x="3928320" y="58006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46</xdr:row>
      <xdr:rowOff>19800</xdr:rowOff>
    </xdr:from>
    <xdr:to>
      <xdr:col>7</xdr:col>
      <xdr:colOff>242280</xdr:colOff>
      <xdr:row>46</xdr:row>
      <xdr:rowOff>169200</xdr:rowOff>
    </xdr:to>
    <xdr:pic>
      <xdr:nvPicPr>
        <xdr:cNvPr id="50" name="Picture 70" descr=""/>
        <xdr:cNvPicPr/>
      </xdr:nvPicPr>
      <xdr:blipFill>
        <a:blip r:embed="rId51"/>
        <a:stretch/>
      </xdr:blipFill>
      <xdr:spPr>
        <a:xfrm>
          <a:off x="5453280" y="88491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48240</xdr:colOff>
      <xdr:row>14</xdr:row>
      <xdr:rowOff>19800</xdr:rowOff>
    </xdr:from>
    <xdr:to>
      <xdr:col>7</xdr:col>
      <xdr:colOff>197640</xdr:colOff>
      <xdr:row>14</xdr:row>
      <xdr:rowOff>169200</xdr:rowOff>
    </xdr:to>
    <xdr:pic>
      <xdr:nvPicPr>
        <xdr:cNvPr id="51" name="Picture 68" descr=""/>
        <xdr:cNvPicPr/>
      </xdr:nvPicPr>
      <xdr:blipFill>
        <a:blip r:embed="rId52"/>
        <a:stretch/>
      </xdr:blipFill>
      <xdr:spPr>
        <a:xfrm>
          <a:off x="5481720" y="2753280"/>
          <a:ext cx="14940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43560</xdr:colOff>
      <xdr:row>31</xdr:row>
      <xdr:rowOff>19080</xdr:rowOff>
    </xdr:from>
    <xdr:to>
      <xdr:col>7</xdr:col>
      <xdr:colOff>192960</xdr:colOff>
      <xdr:row>31</xdr:row>
      <xdr:rowOff>168480</xdr:rowOff>
    </xdr:to>
    <xdr:pic>
      <xdr:nvPicPr>
        <xdr:cNvPr id="52" name="Picture 73" descr=""/>
        <xdr:cNvPicPr/>
      </xdr:nvPicPr>
      <xdr:blipFill>
        <a:blip r:embed="rId53"/>
        <a:stretch/>
      </xdr:blipFill>
      <xdr:spPr>
        <a:xfrm>
          <a:off x="5477040" y="5991120"/>
          <a:ext cx="14940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1291320</xdr:colOff>
      <xdr:row>47</xdr:row>
      <xdr:rowOff>19080</xdr:rowOff>
    </xdr:from>
    <xdr:to>
      <xdr:col>4</xdr:col>
      <xdr:colOff>1440720</xdr:colOff>
      <xdr:row>47</xdr:row>
      <xdr:rowOff>168480</xdr:rowOff>
    </xdr:to>
    <xdr:pic>
      <xdr:nvPicPr>
        <xdr:cNvPr id="53" name="Picture 74" descr=""/>
        <xdr:cNvPicPr/>
      </xdr:nvPicPr>
      <xdr:blipFill>
        <a:blip r:embed="rId54"/>
        <a:stretch/>
      </xdr:blipFill>
      <xdr:spPr>
        <a:xfrm>
          <a:off x="3956760" y="9039240"/>
          <a:ext cx="14940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15</xdr:row>
      <xdr:rowOff>19800</xdr:rowOff>
    </xdr:from>
    <xdr:to>
      <xdr:col>4</xdr:col>
      <xdr:colOff>1480680</xdr:colOff>
      <xdr:row>15</xdr:row>
      <xdr:rowOff>169200</xdr:rowOff>
    </xdr:to>
    <xdr:pic>
      <xdr:nvPicPr>
        <xdr:cNvPr id="54" name="Picture 72" descr=""/>
        <xdr:cNvPicPr/>
      </xdr:nvPicPr>
      <xdr:blipFill>
        <a:blip r:embed="rId55"/>
        <a:stretch/>
      </xdr:blipFill>
      <xdr:spPr>
        <a:xfrm>
          <a:off x="3923640" y="29437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30</xdr:row>
      <xdr:rowOff>19080</xdr:rowOff>
    </xdr:from>
    <xdr:to>
      <xdr:col>7</xdr:col>
      <xdr:colOff>242280</xdr:colOff>
      <xdr:row>30</xdr:row>
      <xdr:rowOff>168480</xdr:rowOff>
    </xdr:to>
    <xdr:pic>
      <xdr:nvPicPr>
        <xdr:cNvPr id="55" name="Picture 77" descr=""/>
        <xdr:cNvPicPr/>
      </xdr:nvPicPr>
      <xdr:blipFill>
        <a:blip r:embed="rId56"/>
        <a:stretch/>
      </xdr:blipFill>
      <xdr:spPr>
        <a:xfrm>
          <a:off x="5453280" y="58006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47</xdr:row>
      <xdr:rowOff>19080</xdr:rowOff>
    </xdr:from>
    <xdr:to>
      <xdr:col>7</xdr:col>
      <xdr:colOff>242280</xdr:colOff>
      <xdr:row>47</xdr:row>
      <xdr:rowOff>168480</xdr:rowOff>
    </xdr:to>
    <xdr:pic>
      <xdr:nvPicPr>
        <xdr:cNvPr id="56" name="Picture 78" descr=""/>
        <xdr:cNvPicPr/>
      </xdr:nvPicPr>
      <xdr:blipFill>
        <a:blip r:embed="rId57"/>
        <a:stretch/>
      </xdr:blipFill>
      <xdr:spPr>
        <a:xfrm>
          <a:off x="5453280" y="90392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15</xdr:row>
      <xdr:rowOff>19800</xdr:rowOff>
    </xdr:from>
    <xdr:to>
      <xdr:col>7</xdr:col>
      <xdr:colOff>242280</xdr:colOff>
      <xdr:row>15</xdr:row>
      <xdr:rowOff>169200</xdr:rowOff>
    </xdr:to>
    <xdr:pic>
      <xdr:nvPicPr>
        <xdr:cNvPr id="57" name="Picture 76" descr=""/>
        <xdr:cNvPicPr/>
      </xdr:nvPicPr>
      <xdr:blipFill>
        <a:blip r:embed="rId58"/>
        <a:stretch/>
      </xdr:blipFill>
      <xdr:spPr>
        <a:xfrm>
          <a:off x="5453280" y="29437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31</xdr:row>
      <xdr:rowOff>19080</xdr:rowOff>
    </xdr:from>
    <xdr:to>
      <xdr:col>4</xdr:col>
      <xdr:colOff>1485360</xdr:colOff>
      <xdr:row>31</xdr:row>
      <xdr:rowOff>168480</xdr:rowOff>
    </xdr:to>
    <xdr:pic>
      <xdr:nvPicPr>
        <xdr:cNvPr id="58" name="Picture 81" descr=""/>
        <xdr:cNvPicPr/>
      </xdr:nvPicPr>
      <xdr:blipFill>
        <a:blip r:embed="rId59"/>
        <a:stretch/>
      </xdr:blipFill>
      <xdr:spPr>
        <a:xfrm>
          <a:off x="3928320" y="59911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46</xdr:row>
      <xdr:rowOff>19800</xdr:rowOff>
    </xdr:from>
    <xdr:to>
      <xdr:col>4</xdr:col>
      <xdr:colOff>1480680</xdr:colOff>
      <xdr:row>46</xdr:row>
      <xdr:rowOff>169200</xdr:rowOff>
    </xdr:to>
    <xdr:pic>
      <xdr:nvPicPr>
        <xdr:cNvPr id="59" name="Picture 82" descr=""/>
        <xdr:cNvPicPr/>
      </xdr:nvPicPr>
      <xdr:blipFill>
        <a:blip r:embed="rId60"/>
        <a:stretch/>
      </xdr:blipFill>
      <xdr:spPr>
        <a:xfrm>
          <a:off x="3923640" y="88491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16</xdr:row>
      <xdr:rowOff>19800</xdr:rowOff>
    </xdr:from>
    <xdr:to>
      <xdr:col>4</xdr:col>
      <xdr:colOff>1480680</xdr:colOff>
      <xdr:row>16</xdr:row>
      <xdr:rowOff>169200</xdr:rowOff>
    </xdr:to>
    <xdr:pic>
      <xdr:nvPicPr>
        <xdr:cNvPr id="60" name="Picture 80" descr=""/>
        <xdr:cNvPicPr/>
      </xdr:nvPicPr>
      <xdr:blipFill>
        <a:blip r:embed="rId61"/>
        <a:stretch/>
      </xdr:blipFill>
      <xdr:spPr>
        <a:xfrm>
          <a:off x="3923640" y="31341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32</xdr:row>
      <xdr:rowOff>19800</xdr:rowOff>
    </xdr:from>
    <xdr:to>
      <xdr:col>4</xdr:col>
      <xdr:colOff>1480680</xdr:colOff>
      <xdr:row>32</xdr:row>
      <xdr:rowOff>169200</xdr:rowOff>
    </xdr:to>
    <xdr:pic>
      <xdr:nvPicPr>
        <xdr:cNvPr id="61" name="Picture 85" descr=""/>
        <xdr:cNvPicPr/>
      </xdr:nvPicPr>
      <xdr:blipFill>
        <a:blip r:embed="rId62"/>
        <a:stretch/>
      </xdr:blipFill>
      <xdr:spPr>
        <a:xfrm>
          <a:off x="3923640" y="61822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48</xdr:row>
      <xdr:rowOff>19080</xdr:rowOff>
    </xdr:from>
    <xdr:to>
      <xdr:col>7</xdr:col>
      <xdr:colOff>242280</xdr:colOff>
      <xdr:row>48</xdr:row>
      <xdr:rowOff>168480</xdr:rowOff>
    </xdr:to>
    <xdr:pic>
      <xdr:nvPicPr>
        <xdr:cNvPr id="62" name="Picture 86" descr=""/>
        <xdr:cNvPicPr/>
      </xdr:nvPicPr>
      <xdr:blipFill>
        <a:blip r:embed="rId63"/>
        <a:stretch/>
      </xdr:blipFill>
      <xdr:spPr>
        <a:xfrm>
          <a:off x="5453280" y="92296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16</xdr:row>
      <xdr:rowOff>24480</xdr:rowOff>
    </xdr:from>
    <xdr:to>
      <xdr:col>7</xdr:col>
      <xdr:colOff>242280</xdr:colOff>
      <xdr:row>16</xdr:row>
      <xdr:rowOff>173880</xdr:rowOff>
    </xdr:to>
    <xdr:pic>
      <xdr:nvPicPr>
        <xdr:cNvPr id="63" name="Picture 84" descr=""/>
        <xdr:cNvPicPr/>
      </xdr:nvPicPr>
      <xdr:blipFill>
        <a:blip r:embed="rId64"/>
        <a:stretch/>
      </xdr:blipFill>
      <xdr:spPr>
        <a:xfrm>
          <a:off x="5453280" y="31388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33</xdr:row>
      <xdr:rowOff>19800</xdr:rowOff>
    </xdr:from>
    <xdr:to>
      <xdr:col>7</xdr:col>
      <xdr:colOff>242280</xdr:colOff>
      <xdr:row>33</xdr:row>
      <xdr:rowOff>169200</xdr:rowOff>
    </xdr:to>
    <xdr:pic>
      <xdr:nvPicPr>
        <xdr:cNvPr id="64" name="Picture 89" descr=""/>
        <xdr:cNvPicPr/>
      </xdr:nvPicPr>
      <xdr:blipFill>
        <a:blip r:embed="rId65"/>
        <a:stretch/>
      </xdr:blipFill>
      <xdr:spPr>
        <a:xfrm>
          <a:off x="5453280" y="63727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49</xdr:row>
      <xdr:rowOff>19080</xdr:rowOff>
    </xdr:from>
    <xdr:to>
      <xdr:col>4</xdr:col>
      <xdr:colOff>1485360</xdr:colOff>
      <xdr:row>49</xdr:row>
      <xdr:rowOff>168480</xdr:rowOff>
    </xdr:to>
    <xdr:pic>
      <xdr:nvPicPr>
        <xdr:cNvPr id="65" name="Picture 90" descr=""/>
        <xdr:cNvPicPr/>
      </xdr:nvPicPr>
      <xdr:blipFill>
        <a:blip r:embed="rId66"/>
        <a:stretch/>
      </xdr:blipFill>
      <xdr:spPr>
        <a:xfrm>
          <a:off x="3928320" y="94201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17</xdr:row>
      <xdr:rowOff>19080</xdr:rowOff>
    </xdr:from>
    <xdr:to>
      <xdr:col>4</xdr:col>
      <xdr:colOff>1480680</xdr:colOff>
      <xdr:row>17</xdr:row>
      <xdr:rowOff>168480</xdr:rowOff>
    </xdr:to>
    <xdr:pic>
      <xdr:nvPicPr>
        <xdr:cNvPr id="66" name="Picture 88" descr=""/>
        <xdr:cNvPicPr/>
      </xdr:nvPicPr>
      <xdr:blipFill>
        <a:blip r:embed="rId67"/>
        <a:stretch/>
      </xdr:blipFill>
      <xdr:spPr>
        <a:xfrm>
          <a:off x="3923640" y="33242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32</xdr:row>
      <xdr:rowOff>19800</xdr:rowOff>
    </xdr:from>
    <xdr:to>
      <xdr:col>7</xdr:col>
      <xdr:colOff>242280</xdr:colOff>
      <xdr:row>32</xdr:row>
      <xdr:rowOff>169200</xdr:rowOff>
    </xdr:to>
    <xdr:pic>
      <xdr:nvPicPr>
        <xdr:cNvPr id="67" name="Picture 93" descr=""/>
        <xdr:cNvPicPr/>
      </xdr:nvPicPr>
      <xdr:blipFill>
        <a:blip r:embed="rId68"/>
        <a:stretch/>
      </xdr:blipFill>
      <xdr:spPr>
        <a:xfrm>
          <a:off x="5453280" y="61822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49</xdr:row>
      <xdr:rowOff>19080</xdr:rowOff>
    </xdr:from>
    <xdr:to>
      <xdr:col>7</xdr:col>
      <xdr:colOff>242280</xdr:colOff>
      <xdr:row>49</xdr:row>
      <xdr:rowOff>168480</xdr:rowOff>
    </xdr:to>
    <xdr:pic>
      <xdr:nvPicPr>
        <xdr:cNvPr id="68" name="Picture 94" descr=""/>
        <xdr:cNvPicPr/>
      </xdr:nvPicPr>
      <xdr:blipFill>
        <a:blip r:embed="rId69"/>
        <a:stretch/>
      </xdr:blipFill>
      <xdr:spPr>
        <a:xfrm>
          <a:off x="5453280" y="94201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17</xdr:row>
      <xdr:rowOff>19080</xdr:rowOff>
    </xdr:from>
    <xdr:to>
      <xdr:col>7</xdr:col>
      <xdr:colOff>242280</xdr:colOff>
      <xdr:row>17</xdr:row>
      <xdr:rowOff>168480</xdr:rowOff>
    </xdr:to>
    <xdr:pic>
      <xdr:nvPicPr>
        <xdr:cNvPr id="69" name="Picture 92" descr=""/>
        <xdr:cNvPicPr/>
      </xdr:nvPicPr>
      <xdr:blipFill>
        <a:blip r:embed="rId70"/>
        <a:stretch/>
      </xdr:blipFill>
      <xdr:spPr>
        <a:xfrm>
          <a:off x="5453280" y="33242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33</xdr:row>
      <xdr:rowOff>19800</xdr:rowOff>
    </xdr:from>
    <xdr:to>
      <xdr:col>4</xdr:col>
      <xdr:colOff>1480680</xdr:colOff>
      <xdr:row>33</xdr:row>
      <xdr:rowOff>169200</xdr:rowOff>
    </xdr:to>
    <xdr:pic>
      <xdr:nvPicPr>
        <xdr:cNvPr id="70" name="Picture 99" descr=""/>
        <xdr:cNvPicPr/>
      </xdr:nvPicPr>
      <xdr:blipFill>
        <a:blip r:embed="rId71"/>
        <a:stretch/>
      </xdr:blipFill>
      <xdr:spPr>
        <a:xfrm>
          <a:off x="3923640" y="63727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48</xdr:row>
      <xdr:rowOff>19080</xdr:rowOff>
    </xdr:from>
    <xdr:to>
      <xdr:col>4</xdr:col>
      <xdr:colOff>1480680</xdr:colOff>
      <xdr:row>48</xdr:row>
      <xdr:rowOff>168480</xdr:rowOff>
    </xdr:to>
    <xdr:pic>
      <xdr:nvPicPr>
        <xdr:cNvPr id="71" name="Picture 100" descr=""/>
        <xdr:cNvPicPr/>
      </xdr:nvPicPr>
      <xdr:blipFill>
        <a:blip r:embed="rId72"/>
        <a:stretch/>
      </xdr:blipFill>
      <xdr:spPr>
        <a:xfrm>
          <a:off x="3923640" y="92296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18</xdr:row>
      <xdr:rowOff>19080</xdr:rowOff>
    </xdr:from>
    <xdr:to>
      <xdr:col>4</xdr:col>
      <xdr:colOff>1463400</xdr:colOff>
      <xdr:row>18</xdr:row>
      <xdr:rowOff>168480</xdr:rowOff>
    </xdr:to>
    <xdr:pic>
      <xdr:nvPicPr>
        <xdr:cNvPr id="72" name="Picture 96" descr=""/>
        <xdr:cNvPicPr/>
      </xdr:nvPicPr>
      <xdr:blipFill>
        <a:blip r:embed="rId73"/>
        <a:stretch/>
      </xdr:blipFill>
      <xdr:spPr>
        <a:xfrm>
          <a:off x="3952080" y="3514680"/>
          <a:ext cx="17676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34</xdr:row>
      <xdr:rowOff>19800</xdr:rowOff>
    </xdr:from>
    <xdr:to>
      <xdr:col>4</xdr:col>
      <xdr:colOff>1463400</xdr:colOff>
      <xdr:row>34</xdr:row>
      <xdr:rowOff>169200</xdr:rowOff>
    </xdr:to>
    <xdr:pic>
      <xdr:nvPicPr>
        <xdr:cNvPr id="73" name="Picture 101" descr=""/>
        <xdr:cNvPicPr/>
      </xdr:nvPicPr>
      <xdr:blipFill>
        <a:blip r:embed="rId74"/>
        <a:stretch/>
      </xdr:blipFill>
      <xdr:spPr>
        <a:xfrm>
          <a:off x="3952080" y="6563160"/>
          <a:ext cx="17676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38880</xdr:colOff>
      <xdr:row>50</xdr:row>
      <xdr:rowOff>19800</xdr:rowOff>
    </xdr:from>
    <xdr:to>
      <xdr:col>7</xdr:col>
      <xdr:colOff>215640</xdr:colOff>
      <xdr:row>50</xdr:row>
      <xdr:rowOff>169200</xdr:rowOff>
    </xdr:to>
    <xdr:pic>
      <xdr:nvPicPr>
        <xdr:cNvPr id="74" name="Picture 102" descr=""/>
        <xdr:cNvPicPr/>
      </xdr:nvPicPr>
      <xdr:blipFill>
        <a:blip r:embed="rId75"/>
        <a:stretch/>
      </xdr:blipFill>
      <xdr:spPr>
        <a:xfrm>
          <a:off x="5472360" y="9611280"/>
          <a:ext cx="17676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18</xdr:row>
      <xdr:rowOff>19080</xdr:rowOff>
    </xdr:from>
    <xdr:to>
      <xdr:col>7</xdr:col>
      <xdr:colOff>242280</xdr:colOff>
      <xdr:row>18</xdr:row>
      <xdr:rowOff>168480</xdr:rowOff>
    </xdr:to>
    <xdr:pic>
      <xdr:nvPicPr>
        <xdr:cNvPr id="75" name="Picture 104" descr=""/>
        <xdr:cNvPicPr/>
      </xdr:nvPicPr>
      <xdr:blipFill>
        <a:blip r:embed="rId76"/>
        <a:stretch/>
      </xdr:blipFill>
      <xdr:spPr>
        <a:xfrm>
          <a:off x="5453280" y="35146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35</xdr:row>
      <xdr:rowOff>19080</xdr:rowOff>
    </xdr:from>
    <xdr:to>
      <xdr:col>7</xdr:col>
      <xdr:colOff>246960</xdr:colOff>
      <xdr:row>35</xdr:row>
      <xdr:rowOff>168480</xdr:rowOff>
    </xdr:to>
    <xdr:pic>
      <xdr:nvPicPr>
        <xdr:cNvPr id="76" name="Picture 105" descr=""/>
        <xdr:cNvPicPr/>
      </xdr:nvPicPr>
      <xdr:blipFill>
        <a:blip r:embed="rId77"/>
        <a:stretch/>
      </xdr:blipFill>
      <xdr:spPr>
        <a:xfrm>
          <a:off x="5457960" y="67532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51</xdr:row>
      <xdr:rowOff>19800</xdr:rowOff>
    </xdr:from>
    <xdr:to>
      <xdr:col>4</xdr:col>
      <xdr:colOff>1480680</xdr:colOff>
      <xdr:row>51</xdr:row>
      <xdr:rowOff>169200</xdr:rowOff>
    </xdr:to>
    <xdr:pic>
      <xdr:nvPicPr>
        <xdr:cNvPr id="77" name="Picture 106" descr=""/>
        <xdr:cNvPicPr/>
      </xdr:nvPicPr>
      <xdr:blipFill>
        <a:blip r:embed="rId78"/>
        <a:stretch/>
      </xdr:blipFill>
      <xdr:spPr>
        <a:xfrm>
          <a:off x="3923640" y="98017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19</xdr:row>
      <xdr:rowOff>19080</xdr:rowOff>
    </xdr:from>
    <xdr:to>
      <xdr:col>4</xdr:col>
      <xdr:colOff>1480680</xdr:colOff>
      <xdr:row>19</xdr:row>
      <xdr:rowOff>168480</xdr:rowOff>
    </xdr:to>
    <xdr:pic>
      <xdr:nvPicPr>
        <xdr:cNvPr id="78" name="Picture 108" descr=""/>
        <xdr:cNvPicPr/>
      </xdr:nvPicPr>
      <xdr:blipFill>
        <a:blip r:embed="rId79"/>
        <a:stretch/>
      </xdr:blipFill>
      <xdr:spPr>
        <a:xfrm>
          <a:off x="3923640" y="37051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34</xdr:row>
      <xdr:rowOff>19800</xdr:rowOff>
    </xdr:from>
    <xdr:to>
      <xdr:col>7</xdr:col>
      <xdr:colOff>242280</xdr:colOff>
      <xdr:row>34</xdr:row>
      <xdr:rowOff>169200</xdr:rowOff>
    </xdr:to>
    <xdr:pic>
      <xdr:nvPicPr>
        <xdr:cNvPr id="79" name="Picture 109" descr=""/>
        <xdr:cNvPicPr/>
      </xdr:nvPicPr>
      <xdr:blipFill>
        <a:blip r:embed="rId80"/>
        <a:stretch/>
      </xdr:blipFill>
      <xdr:spPr>
        <a:xfrm>
          <a:off x="5453280" y="65631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51</xdr:row>
      <xdr:rowOff>19800</xdr:rowOff>
    </xdr:from>
    <xdr:to>
      <xdr:col>7</xdr:col>
      <xdr:colOff>242280</xdr:colOff>
      <xdr:row>51</xdr:row>
      <xdr:rowOff>169200</xdr:rowOff>
    </xdr:to>
    <xdr:pic>
      <xdr:nvPicPr>
        <xdr:cNvPr id="80" name="Picture 110" descr=""/>
        <xdr:cNvPicPr/>
      </xdr:nvPicPr>
      <xdr:blipFill>
        <a:blip r:embed="rId81"/>
        <a:stretch/>
      </xdr:blipFill>
      <xdr:spPr>
        <a:xfrm>
          <a:off x="5453280" y="98017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20</xdr:row>
      <xdr:rowOff>19800</xdr:rowOff>
    </xdr:from>
    <xdr:to>
      <xdr:col>4</xdr:col>
      <xdr:colOff>1480680</xdr:colOff>
      <xdr:row>20</xdr:row>
      <xdr:rowOff>169200</xdr:rowOff>
    </xdr:to>
    <xdr:pic>
      <xdr:nvPicPr>
        <xdr:cNvPr id="81" name="Picture 112" descr=""/>
        <xdr:cNvPicPr/>
      </xdr:nvPicPr>
      <xdr:blipFill>
        <a:blip r:embed="rId82"/>
        <a:stretch/>
      </xdr:blipFill>
      <xdr:spPr>
        <a:xfrm>
          <a:off x="3923640" y="38962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36</xdr:row>
      <xdr:rowOff>19080</xdr:rowOff>
    </xdr:from>
    <xdr:to>
      <xdr:col>4</xdr:col>
      <xdr:colOff>1485360</xdr:colOff>
      <xdr:row>36</xdr:row>
      <xdr:rowOff>168480</xdr:rowOff>
    </xdr:to>
    <xdr:pic>
      <xdr:nvPicPr>
        <xdr:cNvPr id="82" name="Picture 113" descr=""/>
        <xdr:cNvPicPr/>
      </xdr:nvPicPr>
      <xdr:blipFill>
        <a:blip r:embed="rId83"/>
        <a:stretch/>
      </xdr:blipFill>
      <xdr:spPr>
        <a:xfrm>
          <a:off x="3928320" y="694368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52</xdr:row>
      <xdr:rowOff>19800</xdr:rowOff>
    </xdr:from>
    <xdr:to>
      <xdr:col>7</xdr:col>
      <xdr:colOff>242280</xdr:colOff>
      <xdr:row>52</xdr:row>
      <xdr:rowOff>169200</xdr:rowOff>
    </xdr:to>
    <xdr:pic>
      <xdr:nvPicPr>
        <xdr:cNvPr id="83" name="Picture 114" descr=""/>
        <xdr:cNvPicPr/>
      </xdr:nvPicPr>
      <xdr:blipFill>
        <a:blip r:embed="rId84"/>
        <a:stretch/>
      </xdr:blipFill>
      <xdr:spPr>
        <a:xfrm>
          <a:off x="5453280" y="99921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20</xdr:row>
      <xdr:rowOff>24480</xdr:rowOff>
    </xdr:from>
    <xdr:to>
      <xdr:col>7</xdr:col>
      <xdr:colOff>246960</xdr:colOff>
      <xdr:row>20</xdr:row>
      <xdr:rowOff>173880</xdr:rowOff>
    </xdr:to>
    <xdr:pic>
      <xdr:nvPicPr>
        <xdr:cNvPr id="84" name="Picture 3" descr=""/>
        <xdr:cNvPicPr/>
      </xdr:nvPicPr>
      <xdr:blipFill>
        <a:blip r:embed="rId85"/>
        <a:stretch/>
      </xdr:blipFill>
      <xdr:spPr>
        <a:xfrm>
          <a:off x="5457960" y="39009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37</xdr:row>
      <xdr:rowOff>19080</xdr:rowOff>
    </xdr:from>
    <xdr:to>
      <xdr:col>7</xdr:col>
      <xdr:colOff>246960</xdr:colOff>
      <xdr:row>37</xdr:row>
      <xdr:rowOff>168480</xdr:rowOff>
    </xdr:to>
    <xdr:pic>
      <xdr:nvPicPr>
        <xdr:cNvPr id="85" name="Picture 87" descr=""/>
        <xdr:cNvPicPr/>
      </xdr:nvPicPr>
      <xdr:blipFill>
        <a:blip r:embed="rId86"/>
        <a:stretch/>
      </xdr:blipFill>
      <xdr:spPr>
        <a:xfrm>
          <a:off x="5457960" y="71341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53</xdr:row>
      <xdr:rowOff>19080</xdr:rowOff>
    </xdr:from>
    <xdr:to>
      <xdr:col>4</xdr:col>
      <xdr:colOff>1480680</xdr:colOff>
      <xdr:row>53</xdr:row>
      <xdr:rowOff>168480</xdr:rowOff>
    </xdr:to>
    <xdr:pic>
      <xdr:nvPicPr>
        <xdr:cNvPr id="86" name="Picture 91" descr=""/>
        <xdr:cNvPicPr/>
      </xdr:nvPicPr>
      <xdr:blipFill>
        <a:blip r:embed="rId87"/>
        <a:stretch/>
      </xdr:blipFill>
      <xdr:spPr>
        <a:xfrm>
          <a:off x="3923640" y="101822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21</xdr:row>
      <xdr:rowOff>24480</xdr:rowOff>
    </xdr:from>
    <xdr:to>
      <xdr:col>4</xdr:col>
      <xdr:colOff>1485360</xdr:colOff>
      <xdr:row>21</xdr:row>
      <xdr:rowOff>173880</xdr:rowOff>
    </xdr:to>
    <xdr:pic>
      <xdr:nvPicPr>
        <xdr:cNvPr id="87" name="Picture 11" descr=""/>
        <xdr:cNvPicPr/>
      </xdr:nvPicPr>
      <xdr:blipFill>
        <a:blip r:embed="rId88"/>
        <a:stretch/>
      </xdr:blipFill>
      <xdr:spPr>
        <a:xfrm>
          <a:off x="3928320" y="409140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36</xdr:row>
      <xdr:rowOff>23760</xdr:rowOff>
    </xdr:from>
    <xdr:to>
      <xdr:col>7</xdr:col>
      <xdr:colOff>246960</xdr:colOff>
      <xdr:row>36</xdr:row>
      <xdr:rowOff>173160</xdr:rowOff>
    </xdr:to>
    <xdr:pic>
      <xdr:nvPicPr>
        <xdr:cNvPr id="88" name="Picture 95" descr=""/>
        <xdr:cNvPicPr/>
      </xdr:nvPicPr>
      <xdr:blipFill>
        <a:blip r:embed="rId89"/>
        <a:stretch/>
      </xdr:blipFill>
      <xdr:spPr>
        <a:xfrm>
          <a:off x="5457960" y="69483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53</xdr:row>
      <xdr:rowOff>19080</xdr:rowOff>
    </xdr:from>
    <xdr:to>
      <xdr:col>7</xdr:col>
      <xdr:colOff>242280</xdr:colOff>
      <xdr:row>53</xdr:row>
      <xdr:rowOff>168480</xdr:rowOff>
    </xdr:to>
    <xdr:pic>
      <xdr:nvPicPr>
        <xdr:cNvPr id="89" name="Picture 97" descr=""/>
        <xdr:cNvPicPr/>
      </xdr:nvPicPr>
      <xdr:blipFill>
        <a:blip r:embed="rId90"/>
        <a:stretch/>
      </xdr:blipFill>
      <xdr:spPr>
        <a:xfrm>
          <a:off x="5453280" y="101822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21</xdr:row>
      <xdr:rowOff>19800</xdr:rowOff>
    </xdr:from>
    <xdr:to>
      <xdr:col>7</xdr:col>
      <xdr:colOff>242280</xdr:colOff>
      <xdr:row>21</xdr:row>
      <xdr:rowOff>169200</xdr:rowOff>
    </xdr:to>
    <xdr:pic>
      <xdr:nvPicPr>
        <xdr:cNvPr id="90" name="Picture 19" descr=""/>
        <xdr:cNvPicPr/>
      </xdr:nvPicPr>
      <xdr:blipFill>
        <a:blip r:embed="rId91"/>
        <a:stretch/>
      </xdr:blipFill>
      <xdr:spPr>
        <a:xfrm>
          <a:off x="5453280" y="40867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37</xdr:row>
      <xdr:rowOff>19080</xdr:rowOff>
    </xdr:from>
    <xdr:to>
      <xdr:col>4</xdr:col>
      <xdr:colOff>1485360</xdr:colOff>
      <xdr:row>37</xdr:row>
      <xdr:rowOff>168480</xdr:rowOff>
    </xdr:to>
    <xdr:pic>
      <xdr:nvPicPr>
        <xdr:cNvPr id="91" name="Picture 98" descr=""/>
        <xdr:cNvPicPr/>
      </xdr:nvPicPr>
      <xdr:blipFill>
        <a:blip r:embed="rId92"/>
        <a:stretch/>
      </xdr:blipFill>
      <xdr:spPr>
        <a:xfrm>
          <a:off x="3928320" y="713412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52</xdr:row>
      <xdr:rowOff>19800</xdr:rowOff>
    </xdr:from>
    <xdr:to>
      <xdr:col>4</xdr:col>
      <xdr:colOff>1485360</xdr:colOff>
      <xdr:row>52</xdr:row>
      <xdr:rowOff>169200</xdr:rowOff>
    </xdr:to>
    <xdr:pic>
      <xdr:nvPicPr>
        <xdr:cNvPr id="92" name="Picture 103" descr=""/>
        <xdr:cNvPicPr/>
      </xdr:nvPicPr>
      <xdr:blipFill>
        <a:blip r:embed="rId93"/>
        <a:stretch/>
      </xdr:blipFill>
      <xdr:spPr>
        <a:xfrm>
          <a:off x="3928320" y="999216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19</xdr:row>
      <xdr:rowOff>23760</xdr:rowOff>
    </xdr:from>
    <xdr:to>
      <xdr:col>7</xdr:col>
      <xdr:colOff>246960</xdr:colOff>
      <xdr:row>19</xdr:row>
      <xdr:rowOff>173160</xdr:rowOff>
    </xdr:to>
    <xdr:pic>
      <xdr:nvPicPr>
        <xdr:cNvPr id="93" name="Picture 27" descr=""/>
        <xdr:cNvPicPr/>
      </xdr:nvPicPr>
      <xdr:blipFill>
        <a:blip r:embed="rId94"/>
        <a:stretch/>
      </xdr:blipFill>
      <xdr:spPr>
        <a:xfrm>
          <a:off x="5457960" y="370980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35</xdr:row>
      <xdr:rowOff>19080</xdr:rowOff>
    </xdr:from>
    <xdr:to>
      <xdr:col>4</xdr:col>
      <xdr:colOff>1485360</xdr:colOff>
      <xdr:row>35</xdr:row>
      <xdr:rowOff>168480</xdr:rowOff>
    </xdr:to>
    <xdr:pic>
      <xdr:nvPicPr>
        <xdr:cNvPr id="94" name="Picture 107" descr=""/>
        <xdr:cNvPicPr/>
      </xdr:nvPicPr>
      <xdr:blipFill>
        <a:blip r:embed="rId95"/>
        <a:stretch/>
      </xdr:blipFill>
      <xdr:spPr>
        <a:xfrm>
          <a:off x="3928320" y="6753240"/>
          <a:ext cx="222480" cy="14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50</xdr:row>
      <xdr:rowOff>19800</xdr:rowOff>
    </xdr:from>
    <xdr:to>
      <xdr:col>4</xdr:col>
      <xdr:colOff>1480680</xdr:colOff>
      <xdr:row>50</xdr:row>
      <xdr:rowOff>169200</xdr:rowOff>
    </xdr:to>
    <xdr:pic>
      <xdr:nvPicPr>
        <xdr:cNvPr id="95" name="Picture 111" descr=""/>
        <xdr:cNvPicPr/>
      </xdr:nvPicPr>
      <xdr:blipFill>
        <a:blip r:embed="rId96"/>
        <a:stretch/>
      </xdr:blipFill>
      <xdr:spPr>
        <a:xfrm>
          <a:off x="3923640" y="9611280"/>
          <a:ext cx="222480" cy="149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18-fifa-world-cup-schedule.shtml" TargetMode="External"/><Relationship Id="rId2" Type="http://schemas.openxmlformats.org/officeDocument/2006/relationships/hyperlink" Target="http://www.excely.com/football/fifa-world-cup-statistics.s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r="3" customFormat="false" ht="15" hidden="false" customHeight="false" outlineLevel="0" collapsed="false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r="7" customFormat="false" ht="15" hidden="false" customHeight="false" outlineLevel="0" collapsed="false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r="8" customFormat="false" ht="15" hidden="false" customHeight="false" outlineLevel="0" collapsed="false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r="9" customFormat="false" ht="15" hidden="false" customHeight="false" outlineLevel="0" collapsed="false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r="10" customFormat="false" ht="15" hidden="false" customHeight="false" outlineLevel="0" collapsed="false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r="11" customFormat="false" ht="15" hidden="false" customHeight="false" outlineLevel="0" collapsed="false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r="12" customFormat="false" ht="15" hidden="false" customHeight="false" outlineLevel="0" collapsed="false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r="13" customFormat="false" ht="15" hidden="false" customHeight="false" outlineLevel="0" collapsed="false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r="14" customFormat="false" ht="15" hidden="false" customHeight="false" outlineLevel="0" collapsed="false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r="18" customFormat="false" ht="15" hidden="false" customHeight="false" outlineLevel="0" collapsed="false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r="19" customFormat="false" ht="15" hidden="false" customHeight="false" outlineLevel="0" collapsed="false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r="20" customFormat="false" ht="15" hidden="false" customHeight="false" outlineLevel="0" collapsed="false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r="21" customFormat="false" ht="15" hidden="false" customHeight="false" outlineLevel="0" collapsed="false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r="23" customFormat="false" ht="15" hidden="false" customHeight="false" outlineLevel="0" collapsed="false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r="24" customFormat="false" ht="15" hidden="false" customHeight="false" outlineLevel="0" collapsed="false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r="25" customFormat="false" ht="15" hidden="false" customHeight="false" outlineLevel="0" collapsed="false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r="26" customFormat="false" ht="15" hidden="false" customHeight="false" outlineLevel="0" collapsed="false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r="27" customFormat="false" ht="15" hidden="false" customHeight="false" outlineLevel="0" collapsed="false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r="28" customFormat="false" ht="15" hidden="false" customHeight="false" outlineLevel="0" collapsed="false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r="29" customFormat="false" ht="15" hidden="false" customHeight="false" outlineLevel="0" collapsed="false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r="30" customFormat="false" ht="15" hidden="false" customHeight="false" outlineLevel="0" collapsed="false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r="31" customFormat="false" ht="15" hidden="false" customHeight="false" outlineLevel="0" collapsed="false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r="32" customFormat="false" ht="15" hidden="false" customHeight="false" outlineLevel="0" collapsed="false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r="33" customFormat="false" ht="15" hidden="false" customHeight="false" outlineLevel="0" collapsed="false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r="34" customFormat="false" ht="15" hidden="false" customHeight="false" outlineLevel="0" collapsed="false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r="35" customFormat="false" ht="15" hidden="false" customHeight="false" outlineLevel="0" collapsed="false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r="36" customFormat="false" ht="15" hidden="false" customHeight="false" outlineLevel="0" collapsed="false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r="37" customFormat="false" ht="15" hidden="false" customHeight="false" outlineLevel="0" collapsed="false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r="38" customFormat="false" ht="15" hidden="false" customHeight="false" outlineLevel="0" collapsed="false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r="39" customFormat="false" ht="15" hidden="false" customHeight="false" outlineLevel="0" collapsed="false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r="40" customFormat="false" ht="15" hidden="false" customHeight="false" outlineLevel="0" collapsed="false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r="41" customFormat="false" ht="15" hidden="false" customHeight="false" outlineLevel="0" collapsed="false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r="42" customFormat="false" ht="15" hidden="false" customHeight="false" outlineLevel="0" collapsed="false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r="43" customFormat="false" ht="15" hidden="false" customHeight="false" outlineLevel="0" collapsed="false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r="44" customFormat="false" ht="15" hidden="false" customHeight="false" outlineLevel="0" collapsed="false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r="45" customFormat="false" ht="15" hidden="false" customHeight="false" outlineLevel="0" collapsed="false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r="46" customFormat="false" ht="15" hidden="false" customHeight="false" outlineLevel="0" collapsed="false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r="47" customFormat="false" ht="15" hidden="false" customHeight="false" outlineLevel="0" collapsed="false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r="48" customFormat="false" ht="15" hidden="false" customHeight="false" outlineLevel="0" collapsed="false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r="49" customFormat="false" ht="15" hidden="false" customHeight="false" outlineLevel="0" collapsed="false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r="50" customFormat="false" ht="15" hidden="false" customHeight="false" outlineLevel="0" collapsed="false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r="51" customFormat="false" ht="15" hidden="false" customHeight="false" outlineLevel="0" collapsed="false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r="52" customFormat="false" ht="15" hidden="false" customHeight="false" outlineLevel="0" collapsed="false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r="53" customFormat="false" ht="15" hidden="false" customHeight="false" outlineLevel="0" collapsed="false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r="54" customFormat="false" ht="15" hidden="false" customHeight="false" outlineLevel="0" collapsed="false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r="55" customFormat="false" ht="15" hidden="false" customHeight="false" outlineLevel="0" collapsed="false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r="56" customFormat="false" ht="15" hidden="false" customHeight="false" outlineLevel="0" collapsed="false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r="57" customFormat="false" ht="15" hidden="false" customHeight="false" outlineLevel="0" collapsed="false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r="58" customFormat="false" ht="15" hidden="false" customHeight="false" outlineLevel="0" collapsed="false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r="59" customFormat="false" ht="15" hidden="false" customHeight="false" outlineLevel="0" collapsed="false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r="60" customFormat="false" ht="15" hidden="false" customHeight="false" outlineLevel="0" collapsed="false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r="61" customFormat="false" ht="15" hidden="false" customHeight="false" outlineLevel="0" collapsed="false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r="62" customFormat="false" ht="15" hidden="false" customHeight="false" outlineLevel="0" collapsed="false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r="63" customFormat="false" ht="15" hidden="false" customHeight="false" outlineLevel="0" collapsed="false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r="64" customFormat="false" ht="15" hidden="false" customHeight="false" outlineLevel="0" collapsed="false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r="65" customFormat="false" ht="15" hidden="false" customHeight="false" outlineLevel="0" collapsed="false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r="66" customFormat="false" ht="15" hidden="false" customHeight="false" outlineLevel="0" collapsed="false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r="67" customFormat="false" ht="15" hidden="false" customHeight="false" outlineLevel="0" collapsed="false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r="68" customFormat="false" ht="15" hidden="false" customHeight="false" outlineLevel="0" collapsed="false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r="69" customFormat="false" ht="15" hidden="false" customHeight="false" outlineLevel="0" collapsed="false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r="70" customFormat="false" ht="15" hidden="false" customHeight="false" outlineLevel="0" collapsed="false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r="71" customFormat="false" ht="15" hidden="false" customHeight="false" outlineLevel="0" collapsed="false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r="72" customFormat="false" ht="15" hidden="false" customHeight="false" outlineLevel="0" collapsed="false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r="73" customFormat="false" ht="15" hidden="false" customHeight="false" outlineLevel="0" collapsed="false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r="74" customFormat="false" ht="15" hidden="false" customHeight="false" outlineLevel="0" collapsed="false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r="75" customFormat="false" ht="15" hidden="false" customHeight="false" outlineLevel="0" collapsed="false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r="76" customFormat="false" ht="15" hidden="false" customHeight="false" outlineLevel="0" collapsed="false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r="77" customFormat="false" ht="15" hidden="false" customHeight="false" outlineLevel="0" collapsed="false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r="78" customFormat="false" ht="15" hidden="false" customHeight="false" outlineLevel="0" collapsed="false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r="79" customFormat="false" ht="15" hidden="false" customHeight="false" outlineLevel="0" collapsed="false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r="80" customFormat="false" ht="15" hidden="false" customHeight="false" outlineLevel="0" collapsed="false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r="81" customFormat="false" ht="15" hidden="false" customHeight="false" outlineLevel="0" collapsed="false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r="82" customFormat="false" ht="15" hidden="false" customHeight="false" outlineLevel="0" collapsed="false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r="83" customFormat="false" ht="15" hidden="false" customHeight="false" outlineLevel="0" collapsed="false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r="84" customFormat="false" ht="15" hidden="false" customHeight="false" outlineLevel="0" collapsed="false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r="85" customFormat="false" ht="15" hidden="false" customHeight="false" outlineLevel="0" collapsed="false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r="86" customFormat="false" ht="15" hidden="false" customHeight="false" outlineLevel="0" collapsed="false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r="87" customFormat="false" ht="15" hidden="false" customHeight="false" outlineLevel="0" collapsed="false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r="88" customFormat="false" ht="15" hidden="false" customHeight="false" outlineLevel="0" collapsed="false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r="89" customFormat="false" ht="15" hidden="false" customHeight="false" outlineLevel="0" collapsed="false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r="90" customFormat="false" ht="15" hidden="false" customHeight="false" outlineLevel="0" collapsed="false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r="91" customFormat="false" ht="15" hidden="false" customHeight="false" outlineLevel="0" collapsed="false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r="92" customFormat="false" ht="15" hidden="false" customHeight="false" outlineLevel="0" collapsed="false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r="93" customFormat="false" ht="15" hidden="false" customHeight="false" outlineLevel="0" collapsed="false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r="94" customFormat="false" ht="15" hidden="false" customHeight="false" outlineLevel="0" collapsed="false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r="95" customFormat="false" ht="15" hidden="false" customHeight="false" outlineLevel="0" collapsed="false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r="96" customFormat="false" ht="15" hidden="false" customHeight="false" outlineLevel="0" collapsed="false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r="97" customFormat="false" ht="15" hidden="false" customHeight="false" outlineLevel="0" collapsed="false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r="98" customFormat="false" ht="15" hidden="false" customHeight="false" outlineLevel="0" collapsed="false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r="99" customFormat="false" ht="15" hidden="false" customHeight="false" outlineLevel="0" collapsed="false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r="100" customFormat="false" ht="15" hidden="false" customHeight="false" outlineLevel="0" collapsed="false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r="101" customFormat="false" ht="15" hidden="false" customHeight="false" outlineLevel="0" collapsed="false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r="102" customFormat="false" ht="15" hidden="false" customHeight="false" outlineLevel="0" collapsed="false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4" width="1.14"/>
    <col collapsed="false" customWidth="true" hidden="false" outlineLevel="0" max="2" min="2" style="4" width="18.85"/>
    <col collapsed="false" customWidth="true" hidden="false" outlineLevel="0" max="3" min="3" style="4" width="20.28"/>
    <col collapsed="false" customWidth="true" hidden="false" outlineLevel="0" max="4" min="4" style="4" width="9.14"/>
    <col collapsed="false" customWidth="true" hidden="false" outlineLevel="0" max="5" min="5" style="4" width="1.14"/>
    <col collapsed="false" customWidth="true" hidden="false" outlineLevel="0" max="6" min="6" style="4" width="9.14"/>
    <col collapsed="false" customWidth="true" hidden="false" outlineLevel="0" max="7" min="7" style="4" width="27.57"/>
    <col collapsed="false" customWidth="true" hidden="false" outlineLevel="0" max="8" min="8" style="4" width="2.71"/>
    <col collapsed="false" customWidth="true" hidden="false" outlineLevel="0" max="9" min="9" style="4" width="1.14"/>
    <col collapsed="false" customWidth="true" hidden="false" outlineLevel="0" max="1025" min="10" style="4" width="9.14"/>
  </cols>
  <sheetData>
    <row r="1" customFormat="false" ht="7.5" hidden="false" customHeight="true" outlineLevel="0" collapsed="false"/>
    <row r="2" customFormat="false" ht="16.5" hidden="false" customHeight="false" outlineLevel="0" collapsed="false">
      <c r="B2" s="5" t="s">
        <v>2500</v>
      </c>
      <c r="C2" s="6"/>
      <c r="D2" s="7"/>
      <c r="F2" s="5" t="s">
        <v>2501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5" hidden="false" customHeight="false" outlineLevel="0" collapsed="false">
      <c r="B4" s="11" t="s">
        <v>2502</v>
      </c>
      <c r="C4" s="12" t="s">
        <v>35</v>
      </c>
      <c r="D4" s="10"/>
      <c r="F4" s="8"/>
      <c r="G4" s="13"/>
      <c r="H4" s="10"/>
    </row>
    <row r="5" customFormat="false" ht="15" hidden="false" customHeight="false" outlineLevel="0" collapsed="false">
      <c r="B5" s="8"/>
      <c r="C5" s="9"/>
      <c r="D5" s="10"/>
      <c r="F5" s="14" t="s">
        <v>2503</v>
      </c>
      <c r="G5" s="15" t="s">
        <v>2504</v>
      </c>
      <c r="H5" s="10"/>
    </row>
    <row r="6" customFormat="false" ht="15" hidden="false" customHeight="false" outlineLevel="0" collapsed="false">
      <c r="B6" s="11" t="s">
        <v>2505</v>
      </c>
      <c r="C6" s="12" t="s">
        <v>2506</v>
      </c>
      <c r="D6" s="10"/>
      <c r="F6" s="14" t="s">
        <v>2507</v>
      </c>
      <c r="G6" s="16" t="s">
        <v>2508</v>
      </c>
      <c r="H6" s="10"/>
    </row>
    <row r="7" customFormat="false" ht="15" hidden="false" customHeight="false" outlineLevel="0" collapsed="false">
      <c r="B7" s="8"/>
      <c r="C7" s="9"/>
      <c r="D7" s="10"/>
      <c r="F7" s="14" t="s">
        <v>2509</v>
      </c>
      <c r="G7" s="16" t="s">
        <v>2510</v>
      </c>
      <c r="H7" s="10"/>
    </row>
    <row r="8" customFormat="false" ht="15" hidden="false" customHeight="false" outlineLevel="0" collapsed="false">
      <c r="B8" s="11" t="s">
        <v>2511</v>
      </c>
      <c r="C8" s="12" t="s">
        <v>2512</v>
      </c>
      <c r="D8" s="10"/>
      <c r="F8" s="14" t="s">
        <v>2513</v>
      </c>
      <c r="G8" s="16" t="s">
        <v>2514</v>
      </c>
      <c r="H8" s="10"/>
    </row>
    <row r="9" customFormat="false" ht="15" hidden="false" customHeight="false" outlineLevel="0" collapsed="false">
      <c r="B9" s="8"/>
      <c r="C9" s="9"/>
      <c r="D9" s="10"/>
      <c r="F9" s="14" t="s">
        <v>2515</v>
      </c>
      <c r="G9" s="17" t="s">
        <v>2516</v>
      </c>
      <c r="H9" s="10"/>
    </row>
    <row r="10" customFormat="false" ht="15" hidden="false" customHeight="false" outlineLevel="0" collapsed="false">
      <c r="B10" s="11" t="s">
        <v>2517</v>
      </c>
      <c r="C10" s="12" t="s">
        <v>2518</v>
      </c>
      <c r="D10" s="10"/>
      <c r="F10" s="8"/>
      <c r="G10" s="18"/>
      <c r="H10" s="10"/>
    </row>
    <row r="11" customFormat="false" ht="1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5" hidden="false" customHeight="false" outlineLevel="0" collapsed="false">
      <c r="B12" s="11" t="s">
        <v>2519</v>
      </c>
      <c r="C12" s="12" t="s">
        <v>1427</v>
      </c>
      <c r="D12" s="10"/>
    </row>
    <row r="13" customFormat="false" ht="9" hidden="false" customHeight="true" outlineLevel="0" collapsed="false">
      <c r="B13" s="19"/>
      <c r="C13" s="20"/>
      <c r="D13" s="21"/>
    </row>
    <row r="14" customFormat="false" ht="9" hidden="false" customHeight="true" outlineLevel="0" collapsed="false"/>
    <row r="15" customFormat="false" ht="9" hidden="false" customHeight="true" outlineLevel="0" collapsed="false">
      <c r="B15" s="22"/>
      <c r="C15" s="23"/>
      <c r="D15" s="24"/>
      <c r="F15" s="25" t="s">
        <v>2520</v>
      </c>
      <c r="G15" s="25" t="n">
        <f aca="false">IF(ISERROR(MATCH(C4,lang_list,0)),1,MATCH(C4,lang_list,0))</f>
        <v>36</v>
      </c>
      <c r="H15" s="25"/>
      <c r="I15" s="25" t="str">
        <f aca="false">IFERROR(VLOOKUP(C12,T,lang,0),"")</f>
        <v>Alemania</v>
      </c>
    </row>
    <row r="16" customFormat="false" ht="16.5" hidden="false" customHeight="false" outlineLevel="0" collapsed="false">
      <c r="B16" s="8"/>
      <c r="C16" s="26" t="s">
        <v>2516</v>
      </c>
      <c r="D16" s="10"/>
      <c r="F16" s="25" t="s">
        <v>2521</v>
      </c>
      <c r="G16" s="25" t="n">
        <f aca="false">TIME(VLOOKUP(C8,F18:G41,2,0),VLOOKUP(C10,F43:G46,2,0),0)+IF(C6="Yes",TIME(1,0,0),0)</f>
        <v>0.291666666666667</v>
      </c>
      <c r="H16" s="25"/>
      <c r="I16" s="25"/>
    </row>
    <row r="17" customFormat="false" ht="15" hidden="false" customHeight="false" outlineLevel="0" collapsed="false">
      <c r="B17" s="27" t="str">
        <f aca="false">VLOOKUP("Germany",T,lang,0)</f>
        <v>Alemania</v>
      </c>
      <c r="C17" s="28" t="n">
        <v>1602</v>
      </c>
      <c r="D17" s="10"/>
      <c r="F17" s="25"/>
      <c r="G17" s="25"/>
      <c r="H17" s="25"/>
      <c r="I17" s="25" t="s">
        <v>1200</v>
      </c>
    </row>
    <row r="18" customFormat="false" ht="15" hidden="false" customHeight="false" outlineLevel="0" collapsed="false">
      <c r="B18" s="27" t="str">
        <f aca="false">VLOOKUP("Brazil",T,lang,0)</f>
        <v>Brasil</v>
      </c>
      <c r="C18" s="29" t="n">
        <v>1483</v>
      </c>
      <c r="D18" s="10"/>
      <c r="F18" s="25" t="s">
        <v>2522</v>
      </c>
      <c r="G18" s="25" t="n">
        <v>0</v>
      </c>
      <c r="H18" s="25"/>
      <c r="I18" s="25" t="s">
        <v>1465</v>
      </c>
    </row>
    <row r="19" customFormat="false" ht="15" hidden="false" customHeight="false" outlineLevel="0" collapsed="false">
      <c r="B19" s="27" t="str">
        <f aca="false">VLOOKUP("Portugal",T,lang,0)</f>
        <v>Portugal</v>
      </c>
      <c r="C19" s="29" t="n">
        <v>1358</v>
      </c>
      <c r="D19" s="10"/>
      <c r="F19" s="25" t="s">
        <v>2523</v>
      </c>
      <c r="G19" s="25" t="n">
        <v>1</v>
      </c>
      <c r="H19" s="25"/>
      <c r="I19" s="25" t="s">
        <v>1791</v>
      </c>
    </row>
    <row r="20" customFormat="false" ht="15" hidden="false" customHeight="false" outlineLevel="0" collapsed="false">
      <c r="B20" s="27" t="str">
        <f aca="false">VLOOKUP("Argentina",T,lang,0)</f>
        <v>Argentina</v>
      </c>
      <c r="C20" s="29" t="n">
        <v>1348</v>
      </c>
      <c r="D20" s="10"/>
      <c r="F20" s="25" t="s">
        <v>2524</v>
      </c>
      <c r="G20" s="25" t="n">
        <v>2</v>
      </c>
      <c r="H20" s="25"/>
      <c r="I20" s="25" t="s">
        <v>1761</v>
      </c>
    </row>
    <row r="21" customFormat="false" ht="15" hidden="false" customHeight="false" outlineLevel="0" collapsed="false">
      <c r="B21" s="27" t="str">
        <f aca="false">VLOOKUP("Belgium",T,lang,0)</f>
        <v>Bélgica</v>
      </c>
      <c r="C21" s="29" t="n">
        <v>1325</v>
      </c>
      <c r="D21" s="10"/>
      <c r="F21" s="25" t="s">
        <v>2525</v>
      </c>
      <c r="G21" s="25" t="n">
        <v>3</v>
      </c>
      <c r="H21" s="25"/>
      <c r="I21" s="25" t="s">
        <v>1495</v>
      </c>
    </row>
    <row r="22" customFormat="false" ht="15" hidden="false" customHeight="false" outlineLevel="0" collapsed="false">
      <c r="B22" s="27" t="str">
        <f aca="false">VLOOKUP("Spain",T,lang,0)</f>
        <v>España</v>
      </c>
      <c r="C22" s="29" t="n">
        <v>1231</v>
      </c>
      <c r="D22" s="10"/>
      <c r="F22" s="25" t="s">
        <v>2526</v>
      </c>
      <c r="G22" s="25" t="n">
        <v>4</v>
      </c>
      <c r="H22" s="25"/>
      <c r="I22" s="25" t="s">
        <v>1586</v>
      </c>
    </row>
    <row r="23" customFormat="false" ht="15" hidden="false" customHeight="false" outlineLevel="0" collapsed="false">
      <c r="B23" s="27" t="str">
        <f aca="false">VLOOKUP("Poland",T,lang,0)</f>
        <v>Polonia</v>
      </c>
      <c r="C23" s="29" t="n">
        <v>1209</v>
      </c>
      <c r="D23" s="10"/>
      <c r="F23" s="25" t="s">
        <v>2527</v>
      </c>
      <c r="G23" s="25" t="n">
        <v>5</v>
      </c>
      <c r="H23" s="25"/>
      <c r="I23" s="25" t="s">
        <v>1081</v>
      </c>
    </row>
    <row r="24" customFormat="false" ht="15" hidden="false" customHeight="false" outlineLevel="0" collapsed="false">
      <c r="B24" s="27" t="str">
        <f aca="false">VLOOKUP("Switzerland",T,lang,0)</f>
        <v>Suiza</v>
      </c>
      <c r="C24" s="29" t="n">
        <v>1190</v>
      </c>
      <c r="D24" s="10"/>
      <c r="F24" s="25" t="s">
        <v>2528</v>
      </c>
      <c r="G24" s="25" t="n">
        <v>6</v>
      </c>
      <c r="H24" s="25"/>
      <c r="I24" s="25" t="s">
        <v>1522</v>
      </c>
    </row>
    <row r="25" customFormat="false" ht="15" hidden="false" customHeight="false" outlineLevel="0" collapsed="false">
      <c r="B25" s="27" t="str">
        <f aca="false">VLOOKUP("France",T,lang,0)</f>
        <v>Francia</v>
      </c>
      <c r="C25" s="29" t="n">
        <v>1183</v>
      </c>
      <c r="D25" s="10"/>
      <c r="F25" s="25" t="s">
        <v>2512</v>
      </c>
      <c r="G25" s="25" t="n">
        <v>7</v>
      </c>
      <c r="H25" s="25"/>
      <c r="I25" s="25" t="s">
        <v>1712</v>
      </c>
    </row>
    <row r="26" customFormat="false" ht="15" hidden="false" customHeight="false" outlineLevel="0" collapsed="false">
      <c r="B26" s="27" t="str">
        <f aca="false">VLOOKUP("Peru",T,lang,0)</f>
        <v>Perú</v>
      </c>
      <c r="C26" s="29" t="n">
        <v>1128</v>
      </c>
      <c r="D26" s="10"/>
      <c r="F26" s="25" t="s">
        <v>2529</v>
      </c>
      <c r="G26" s="25" t="n">
        <v>8</v>
      </c>
      <c r="H26" s="25"/>
      <c r="I26" s="25" t="s">
        <v>1318</v>
      </c>
    </row>
    <row r="27" customFormat="false" ht="15" hidden="false" customHeight="false" outlineLevel="0" collapsed="false">
      <c r="B27" s="27" t="str">
        <f aca="false">VLOOKUP("Denmark",T,lang,0)</f>
        <v>Dinamarca</v>
      </c>
      <c r="C27" s="29" t="n">
        <v>1099</v>
      </c>
      <c r="D27" s="10"/>
      <c r="F27" s="25" t="s">
        <v>2530</v>
      </c>
      <c r="G27" s="25" t="n">
        <v>9</v>
      </c>
      <c r="H27" s="25"/>
      <c r="I27" s="25" t="s">
        <v>1166</v>
      </c>
    </row>
    <row r="28" customFormat="false" ht="15" hidden="false" customHeight="false" outlineLevel="0" collapsed="false">
      <c r="B28" s="27" t="str">
        <f aca="false">VLOOKUP("Colombia",T,lang,0)</f>
        <v>Colombia</v>
      </c>
      <c r="C28" s="29" t="n">
        <v>1078</v>
      </c>
      <c r="D28" s="10"/>
      <c r="F28" s="25" t="s">
        <v>2531</v>
      </c>
      <c r="G28" s="25" t="n">
        <v>10</v>
      </c>
      <c r="H28" s="25"/>
      <c r="I28" s="25" t="s">
        <v>1427</v>
      </c>
    </row>
    <row r="29" customFormat="false" ht="15" hidden="false" customHeight="false" outlineLevel="0" collapsed="false">
      <c r="B29" s="27" t="str">
        <f aca="false">VLOOKUP("England",T,lang,0)</f>
        <v>Inglaterra</v>
      </c>
      <c r="C29" s="29" t="n">
        <v>1047</v>
      </c>
      <c r="D29" s="10"/>
      <c r="F29" s="25" t="s">
        <v>2532</v>
      </c>
      <c r="G29" s="25" t="n">
        <v>11</v>
      </c>
      <c r="H29" s="25"/>
      <c r="I29" s="25" t="s">
        <v>1637</v>
      </c>
    </row>
    <row r="30" customFormat="false" ht="15" hidden="false" customHeight="false" outlineLevel="0" collapsed="false">
      <c r="B30" s="27" t="str">
        <f aca="false">VLOOKUP("Mexico",T,lang,0)</f>
        <v>México</v>
      </c>
      <c r="C30" s="29" t="n">
        <v>1032</v>
      </c>
      <c r="D30" s="10"/>
      <c r="F30" s="25" t="s">
        <v>2533</v>
      </c>
      <c r="G30" s="25" t="n">
        <v>12</v>
      </c>
      <c r="H30" s="25"/>
      <c r="I30" s="25" t="s">
        <v>1742</v>
      </c>
    </row>
    <row r="31" customFormat="false" ht="15" hidden="false" customHeight="false" outlineLevel="0" collapsed="false">
      <c r="B31" s="27" t="str">
        <f aca="false">VLOOKUP("Croatia",T,lang,0)</f>
        <v>Croacia</v>
      </c>
      <c r="C31" s="29" t="n">
        <v>1018</v>
      </c>
      <c r="D31" s="10"/>
      <c r="F31" s="25" t="s">
        <v>2534</v>
      </c>
      <c r="G31" s="25" t="n">
        <v>13</v>
      </c>
      <c r="H31" s="25"/>
      <c r="I31" s="25" t="s">
        <v>1608</v>
      </c>
    </row>
    <row r="32" customFormat="false" ht="15" hidden="false" customHeight="false" outlineLevel="0" collapsed="false">
      <c r="B32" s="27" t="str">
        <f aca="false">VLOOKUP("Sweden",T,lang,0)</f>
        <v>Suecia</v>
      </c>
      <c r="C32" s="29" t="n">
        <v>998</v>
      </c>
      <c r="D32" s="10"/>
      <c r="F32" s="25" t="s">
        <v>2535</v>
      </c>
      <c r="G32" s="25" t="n">
        <v>14</v>
      </c>
      <c r="H32" s="25"/>
      <c r="I32" s="25" t="s">
        <v>1244</v>
      </c>
    </row>
    <row r="33" customFormat="false" ht="15" hidden="false" customHeight="false" outlineLevel="0" collapsed="false">
      <c r="B33" s="27" t="str">
        <f aca="false">VLOOKUP("Uruguay",T,lang,0)</f>
        <v>Uruguay</v>
      </c>
      <c r="C33" s="29" t="n">
        <v>924</v>
      </c>
      <c r="D33" s="10"/>
      <c r="F33" s="25" t="s">
        <v>2536</v>
      </c>
      <c r="G33" s="25" t="n">
        <v>15</v>
      </c>
      <c r="H33" s="25"/>
      <c r="I33" s="25" t="s">
        <v>1119</v>
      </c>
    </row>
    <row r="34" customFormat="false" ht="15" hidden="false" customHeight="false" outlineLevel="0" collapsed="false">
      <c r="B34" s="27" t="str">
        <f aca="false">VLOOKUP("Iceland",T,lang,0)</f>
        <v>Islandia</v>
      </c>
      <c r="C34" s="29" t="n">
        <v>910</v>
      </c>
      <c r="D34" s="10"/>
      <c r="F34" s="25" t="s">
        <v>2537</v>
      </c>
      <c r="G34" s="25" t="n">
        <v>16</v>
      </c>
      <c r="H34" s="25"/>
      <c r="I34" s="25" t="s">
        <v>1822</v>
      </c>
    </row>
    <row r="35" customFormat="false" ht="15" hidden="false" customHeight="false" outlineLevel="0" collapsed="false">
      <c r="B35" s="27" t="str">
        <f aca="false">VLOOKUP("Senegal",T,lang,0)</f>
        <v>Senegal</v>
      </c>
      <c r="C35" s="29" t="n">
        <v>884</v>
      </c>
      <c r="D35" s="10"/>
      <c r="F35" s="25" t="s">
        <v>2538</v>
      </c>
      <c r="G35" s="25" t="n">
        <v>17</v>
      </c>
      <c r="H35" s="25"/>
      <c r="I35" s="25" t="s">
        <v>1221</v>
      </c>
    </row>
    <row r="36" customFormat="false" ht="15" hidden="false" customHeight="false" outlineLevel="0" collapsed="false">
      <c r="B36" s="27" t="str">
        <f aca="false">VLOOKUP("Costa Rica",T,lang,0)</f>
        <v>Costa Rica</v>
      </c>
      <c r="C36" s="29" t="n">
        <v>850</v>
      </c>
      <c r="D36" s="10"/>
      <c r="F36" s="25" t="s">
        <v>2539</v>
      </c>
      <c r="G36" s="25" t="n">
        <v>18</v>
      </c>
      <c r="H36" s="25"/>
      <c r="I36" s="25" t="s">
        <v>1946</v>
      </c>
    </row>
    <row r="37" customFormat="false" ht="15" hidden="false" customHeight="false" outlineLevel="0" collapsed="false">
      <c r="B37" s="27" t="str">
        <f aca="false">VLOOKUP("Tunisia",T,lang,0)</f>
        <v>Túnez</v>
      </c>
      <c r="C37" s="29" t="n">
        <v>838</v>
      </c>
      <c r="D37" s="10"/>
      <c r="F37" s="25" t="s">
        <v>2540</v>
      </c>
      <c r="G37" s="25" t="n">
        <v>19</v>
      </c>
      <c r="H37" s="25"/>
      <c r="I37" s="25" t="s">
        <v>1379</v>
      </c>
    </row>
    <row r="38" customFormat="false" ht="15" hidden="false" customHeight="false" outlineLevel="0" collapsed="false">
      <c r="B38" s="27" t="str">
        <f aca="false">VLOOKUP("Egypt",T,lang,0)</f>
        <v>Egipto</v>
      </c>
      <c r="C38" s="29" t="n">
        <v>805</v>
      </c>
      <c r="D38" s="10"/>
      <c r="F38" s="25" t="s">
        <v>2541</v>
      </c>
      <c r="G38" s="25" t="n">
        <v>20</v>
      </c>
      <c r="H38" s="25"/>
      <c r="I38" s="25" t="s">
        <v>1283</v>
      </c>
    </row>
    <row r="39" customFormat="false" ht="15" hidden="false" customHeight="false" outlineLevel="0" collapsed="false">
      <c r="B39" s="27" t="str">
        <f aca="false">VLOOKUP("Iran",T,lang,0)</f>
        <v>Irán</v>
      </c>
      <c r="C39" s="29" t="n">
        <v>798</v>
      </c>
      <c r="D39" s="10"/>
      <c r="F39" s="25" t="s">
        <v>2542</v>
      </c>
      <c r="G39" s="25" t="n">
        <v>21</v>
      </c>
      <c r="H39" s="25"/>
      <c r="I39" s="25" t="s">
        <v>1848</v>
      </c>
    </row>
    <row r="40" customFormat="false" ht="15" hidden="false" customHeight="false" outlineLevel="0" collapsed="false">
      <c r="B40" s="27" t="str">
        <f aca="false">VLOOKUP("Serbia",T,lang,0)</f>
        <v>Serbia</v>
      </c>
      <c r="C40" s="29" t="n">
        <v>756</v>
      </c>
      <c r="D40" s="10"/>
      <c r="F40" s="25" t="s">
        <v>2543</v>
      </c>
      <c r="G40" s="25" t="n">
        <v>22</v>
      </c>
      <c r="H40" s="25"/>
      <c r="I40" s="25" t="s">
        <v>1396</v>
      </c>
    </row>
    <row r="41" customFormat="false" ht="15" hidden="false" customHeight="false" outlineLevel="0" collapsed="false">
      <c r="B41" s="27" t="str">
        <f aca="false">VLOOKUP("Australia",T,lang,0)</f>
        <v>Australia</v>
      </c>
      <c r="C41" s="29" t="n">
        <v>747</v>
      </c>
      <c r="D41" s="10"/>
      <c r="F41" s="25" t="s">
        <v>2544</v>
      </c>
      <c r="G41" s="25" t="n">
        <v>23</v>
      </c>
      <c r="H41" s="25"/>
      <c r="I41" s="25" t="s">
        <v>1960</v>
      </c>
    </row>
    <row r="42" customFormat="false" ht="15" hidden="false" customHeight="false" outlineLevel="0" collapsed="false">
      <c r="B42" s="27" t="str">
        <f aca="false">VLOOKUP("Morocco",T,lang,0)</f>
        <v>Marruecos</v>
      </c>
      <c r="C42" s="29" t="n">
        <v>738</v>
      </c>
      <c r="D42" s="10"/>
      <c r="F42" s="25"/>
      <c r="G42" s="25"/>
      <c r="H42" s="25"/>
      <c r="I42" s="25" t="s">
        <v>1665</v>
      </c>
    </row>
    <row r="43" customFormat="false" ht="15" hidden="false" customHeight="false" outlineLevel="0" collapsed="false">
      <c r="B43" s="27" t="str">
        <f aca="false">VLOOKUP("Nigeria",T,lang,0)</f>
        <v>Nigeria</v>
      </c>
      <c r="C43" s="29" t="n">
        <v>640</v>
      </c>
      <c r="D43" s="10"/>
      <c r="F43" s="25" t="s">
        <v>2518</v>
      </c>
      <c r="G43" s="25" t="n">
        <v>0</v>
      </c>
      <c r="H43" s="25"/>
      <c r="I43" s="25" t="s">
        <v>1350</v>
      </c>
    </row>
    <row r="44" customFormat="false" ht="15" hidden="false" customHeight="false" outlineLevel="0" collapsed="false">
      <c r="B44" s="27" t="str">
        <f aca="false">VLOOKUP("Panama",T,lang,0)</f>
        <v>Panamá</v>
      </c>
      <c r="C44" s="29" t="n">
        <v>621</v>
      </c>
      <c r="D44" s="10"/>
      <c r="F44" s="25" t="s">
        <v>2545</v>
      </c>
      <c r="G44" s="25" t="n">
        <v>15</v>
      </c>
      <c r="H44" s="25"/>
      <c r="I44" s="25" t="s">
        <v>1873</v>
      </c>
    </row>
    <row r="45" customFormat="false" ht="15" hidden="false" customHeight="false" outlineLevel="0" collapsed="false">
      <c r="B45" s="27" t="str">
        <f aca="false">VLOOKUP("Japan",T,lang,0)</f>
        <v>Japón</v>
      </c>
      <c r="C45" s="29" t="n">
        <v>600</v>
      </c>
      <c r="D45" s="10"/>
      <c r="F45" s="25" t="s">
        <v>2546</v>
      </c>
      <c r="G45" s="25" t="n">
        <v>30</v>
      </c>
      <c r="H45" s="25"/>
      <c r="I45" s="25" t="s">
        <v>1552</v>
      </c>
    </row>
    <row r="46" customFormat="false" ht="15" hidden="false" customHeight="false" outlineLevel="0" collapsed="false">
      <c r="B46" s="27" t="str">
        <f aca="false">VLOOKUP("Korea Republic",T,lang,0)</f>
        <v>República de Corea</v>
      </c>
      <c r="C46" s="29" t="n">
        <v>570</v>
      </c>
      <c r="D46" s="10"/>
      <c r="F46" s="25" t="s">
        <v>2547</v>
      </c>
      <c r="G46" s="25" t="n">
        <v>45</v>
      </c>
      <c r="H46" s="25"/>
      <c r="I46" s="25" t="s">
        <v>1909</v>
      </c>
    </row>
    <row r="47" customFormat="false" ht="15" hidden="false" customHeight="false" outlineLevel="0" collapsed="false">
      <c r="B47" s="27" t="str">
        <f aca="false">VLOOKUP("Saudi Arabia",T,lang,0)</f>
        <v>Arabia Saudita</v>
      </c>
      <c r="C47" s="29" t="n">
        <v>543</v>
      </c>
      <c r="D47" s="10"/>
      <c r="F47" s="25"/>
      <c r="G47" s="25"/>
      <c r="H47" s="25"/>
      <c r="I47" s="25" t="s">
        <v>1684</v>
      </c>
    </row>
    <row r="48" customFormat="false" ht="15" hidden="false" customHeight="false" outlineLevel="0" collapsed="false">
      <c r="B48" s="27" t="str">
        <f aca="false">VLOOKUP("Russia",T,lang,0)</f>
        <v>Rusia</v>
      </c>
      <c r="C48" s="30" t="n">
        <v>534</v>
      </c>
      <c r="D48" s="10"/>
      <c r="F48" s="25" t="s">
        <v>2548</v>
      </c>
      <c r="G48" s="25" t="n">
        <f aca="false">IF(G4="Type 2",0,1)</f>
        <v>1</v>
      </c>
      <c r="H48" s="25"/>
      <c r="I48" s="25" t="s">
        <v>1145</v>
      </c>
    </row>
    <row r="49" customFormat="false" ht="15" hidden="false" customHeight="false" outlineLevel="0" collapsed="false">
      <c r="B49" s="19"/>
      <c r="C49" s="20"/>
      <c r="D49" s="21"/>
    </row>
  </sheetData>
  <sheetProtection sheet="true" objects="true" scenarios="true"/>
  <dataValidations count="5">
    <dataValidation allowBlank="true" operator="equal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equal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equal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equal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equal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T96"/>
  <sheetViews>
    <sheetView showFormulas="false" showGridLines="false" showRowColHeaders="true" showZeros="true" rightToLeft="false" tabSelected="true" showOutlineSymbols="true" defaultGridColor="true" view="normal" topLeftCell="G10" colorId="64" zoomScale="100" zoomScaleNormal="100" zoomScalePageLayoutView="100" workbookViewId="0">
      <selection pane="topLeft" activeCell="G46" activeCellId="0" sqref="G46"/>
    </sheetView>
  </sheetViews>
  <sheetFormatPr defaultRowHeight="15" zeroHeight="false" outlineLevelRow="0" outlineLevelCol="0"/>
  <cols>
    <col collapsed="false" customWidth="true" hidden="false" outlineLevel="0" max="1" min="1" style="31" width="4.85"/>
    <col collapsed="false" customWidth="true" hidden="false" outlineLevel="0" max="2" min="2" style="31" width="6.14"/>
    <col collapsed="false" customWidth="true" hidden="false" outlineLevel="0" max="3" min="3" style="31" width="11.71"/>
    <col collapsed="false" customWidth="true" hidden="false" outlineLevel="0" max="4" min="4" style="32" width="7.28"/>
    <col collapsed="false" customWidth="true" hidden="false" outlineLevel="0" max="5" min="5" style="33" width="22.57"/>
    <col collapsed="false" customWidth="true" hidden="false" outlineLevel="0" max="7" min="6" style="34" width="4.28"/>
    <col collapsed="false" customWidth="true" hidden="false" outlineLevel="0" max="8" min="8" style="35" width="22.57"/>
    <col collapsed="false" customWidth="true" hidden="false" outlineLevel="0" max="9" min="9" style="36" width="3.43"/>
    <col collapsed="false" customWidth="true" hidden="false" outlineLevel="0" max="10" min="10" style="37" width="14"/>
    <col collapsed="false" customWidth="true" hidden="false" outlineLevel="0" max="14" min="11" style="38" width="5.43"/>
    <col collapsed="false" customWidth="true" hidden="false" outlineLevel="0" max="15" min="15" style="38" width="7.7"/>
    <col collapsed="false" customWidth="true" hidden="false" outlineLevel="0" max="16" min="16" style="38" width="6.7"/>
    <col collapsed="false" customWidth="true" hidden="false" outlineLevel="0" max="17" min="17" style="39" width="3.43"/>
    <col collapsed="false" customWidth="true" hidden="true" outlineLevel="0" max="18" min="18" style="40" width="15.43"/>
    <col collapsed="false" customWidth="true" hidden="true" outlineLevel="0" max="20" min="19" style="41" width="16"/>
    <col collapsed="false" customWidth="true" hidden="true" outlineLevel="0" max="21" min="21" style="42" width="5"/>
    <col collapsed="false" customWidth="true" hidden="true" outlineLevel="0" max="25" min="22" style="40" width="6.14"/>
    <col collapsed="false" customWidth="true" hidden="true" outlineLevel="0" max="26" min="26" style="42" width="4.28"/>
    <col collapsed="false" customWidth="true" hidden="true" outlineLevel="0" max="27" min="27" style="40" width="5.43"/>
    <col collapsed="false" customWidth="true" hidden="true" outlineLevel="0" max="28" min="28" style="42" width="13.43"/>
    <col collapsed="false" customWidth="true" hidden="true" outlineLevel="0" max="33" min="29" style="40" width="5.43"/>
    <col collapsed="false" customWidth="true" hidden="true" outlineLevel="0" max="36" min="34" style="40" width="6"/>
    <col collapsed="false" customWidth="true" hidden="true" outlineLevel="0" max="37" min="37" style="40" width="5.43"/>
    <col collapsed="false" customWidth="true" hidden="true" outlineLevel="0" max="38" min="38" style="40" width="6"/>
    <col collapsed="false" customWidth="true" hidden="true" outlineLevel="0" max="39" min="39" style="42" width="7.14"/>
    <col collapsed="false" customWidth="true" hidden="true" outlineLevel="0" max="40" min="40" style="42" width="10"/>
    <col collapsed="false" customWidth="true" hidden="true" outlineLevel="0" max="41" min="41" style="43" width="15.28"/>
    <col collapsed="false" customWidth="true" hidden="true" outlineLevel="0" max="46" min="42" style="44" width="4.7"/>
    <col collapsed="false" customWidth="true" hidden="true" outlineLevel="0" max="49" min="47" style="43" width="9.14"/>
    <col collapsed="false" customWidth="true" hidden="true" outlineLevel="0" max="50" min="50" style="45" width="9.14"/>
    <col collapsed="false" customWidth="true" hidden="false" outlineLevel="0" max="51" min="51" style="36" width="3.28"/>
    <col collapsed="false" customWidth="true" hidden="false" outlineLevel="0" max="52" min="52" style="36" width="19.71"/>
    <col collapsed="false" customWidth="true" hidden="false" outlineLevel="0" max="54" min="53" style="36" width="3"/>
    <col collapsed="false" customWidth="true" hidden="false" outlineLevel="0" max="56" min="55" style="36" width="2"/>
    <col collapsed="false" customWidth="true" hidden="false" outlineLevel="0" max="57" min="57" style="36" width="3.28"/>
    <col collapsed="false" customWidth="true" hidden="false" outlineLevel="0" max="58" min="58" style="36" width="19.71"/>
    <col collapsed="false" customWidth="true" hidden="false" outlineLevel="0" max="60" min="59" style="36" width="3"/>
    <col collapsed="false" customWidth="true" hidden="false" outlineLevel="0" max="62" min="61" style="36" width="2"/>
    <col collapsed="false" customWidth="true" hidden="false" outlineLevel="0" max="63" min="63" style="36" width="3.28"/>
    <col collapsed="false" customWidth="true" hidden="false" outlineLevel="0" max="64" min="64" style="36" width="19.71"/>
    <col collapsed="false" customWidth="true" hidden="false" outlineLevel="0" max="66" min="65" style="36" width="3"/>
    <col collapsed="false" customWidth="true" hidden="false" outlineLevel="0" max="68" min="67" style="36" width="2"/>
    <col collapsed="false" customWidth="true" hidden="false" outlineLevel="0" max="69" min="69" style="36" width="3.28"/>
    <col collapsed="false" customWidth="true" hidden="false" outlineLevel="0" max="70" min="70" style="36" width="19.71"/>
    <col collapsed="false" customWidth="true" hidden="false" outlineLevel="0" max="72" min="71" style="36" width="3"/>
    <col collapsed="false" customWidth="true" hidden="false" outlineLevel="0" max="1025" min="73" style="36" width="9.14"/>
  </cols>
  <sheetData>
    <row r="1" customFormat="false" ht="46.5" hidden="false" customHeight="false" outlineLevel="0" collapsed="false">
      <c r="A1" s="46" t="str">
        <f aca="false">INDEX(T,2,lang)</f>
        <v>Copa Mundial de Fútbol - Brasil 2018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 t="str">
        <f aca="false">"Language: " &amp; Settings!C4</f>
        <v>Language: Spanish</v>
      </c>
      <c r="P3" s="47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8" t="str">
        <f aca="false">INDEX(T,3,lang)</f>
        <v>Fase de grupos</v>
      </c>
      <c r="B5" s="48"/>
      <c r="C5" s="48"/>
      <c r="D5" s="48"/>
      <c r="E5" s="48"/>
      <c r="F5" s="48"/>
      <c r="G5" s="48"/>
      <c r="H5" s="48"/>
      <c r="J5" s="49" t="s">
        <v>2549</v>
      </c>
      <c r="K5" s="49"/>
      <c r="L5" s="49"/>
      <c r="M5" s="49"/>
      <c r="N5" s="49"/>
      <c r="O5" s="49"/>
      <c r="P5" s="49"/>
    </row>
    <row r="6" customFormat="false" ht="15" hidden="false" customHeight="true" outlineLevel="0" collapsed="false">
      <c r="A6" s="48"/>
      <c r="B6" s="48"/>
      <c r="C6" s="48"/>
      <c r="D6" s="48"/>
      <c r="E6" s="48"/>
      <c r="F6" s="48"/>
      <c r="G6" s="48"/>
      <c r="H6" s="48"/>
      <c r="J6" s="49"/>
      <c r="K6" s="49"/>
      <c r="L6" s="49"/>
      <c r="M6" s="49"/>
      <c r="N6" s="49"/>
      <c r="O6" s="49"/>
      <c r="P6" s="49"/>
      <c r="R6" s="40" t="s">
        <v>2550</v>
      </c>
      <c r="V6" s="40" t="s">
        <v>2551</v>
      </c>
      <c r="W6" s="40" t="s">
        <v>2552</v>
      </c>
      <c r="AA6" s="40" t="s">
        <v>2553</v>
      </c>
      <c r="AB6" s="40" t="s">
        <v>1046</v>
      </c>
      <c r="AC6" s="40" t="s">
        <v>379</v>
      </c>
      <c r="AD6" s="40" t="s">
        <v>416</v>
      </c>
      <c r="AE6" s="40" t="s">
        <v>349</v>
      </c>
      <c r="AF6" s="40" t="s">
        <v>2551</v>
      </c>
      <c r="AG6" s="40" t="s">
        <v>2552</v>
      </c>
      <c r="AH6" s="40" t="s">
        <v>2554</v>
      </c>
      <c r="AI6" s="40" t="s">
        <v>2554</v>
      </c>
      <c r="AK6" s="40" t="s">
        <v>2555</v>
      </c>
      <c r="AL6" s="40" t="s">
        <v>395</v>
      </c>
      <c r="AM6" s="40" t="s">
        <v>2556</v>
      </c>
      <c r="AN6" s="40" t="s">
        <v>2557</v>
      </c>
      <c r="AP6" s="44" t="s">
        <v>379</v>
      </c>
      <c r="AQ6" s="44" t="s">
        <v>416</v>
      </c>
      <c r="AR6" s="44" t="s">
        <v>2551</v>
      </c>
      <c r="AS6" s="44" t="s">
        <v>2552</v>
      </c>
      <c r="AT6" s="44" t="s">
        <v>2558</v>
      </c>
      <c r="AY6" s="50" t="str">
        <f aca="false">INDEX(T,4,lang)</f>
        <v>Octavos de final</v>
      </c>
      <c r="AZ6" s="50"/>
      <c r="BA6" s="50"/>
      <c r="BB6" s="50"/>
      <c r="BE6" s="50" t="str">
        <f aca="false">INDEX(T,5,lang)</f>
        <v>Cuartos de Final</v>
      </c>
      <c r="BF6" s="50"/>
      <c r="BG6" s="50"/>
      <c r="BH6" s="50"/>
      <c r="BK6" s="50" t="str">
        <f aca="false">INDEX(T,6,lang)</f>
        <v>Semifinales</v>
      </c>
      <c r="BL6" s="50"/>
      <c r="BM6" s="50"/>
      <c r="BN6" s="50"/>
      <c r="BQ6" s="50" t="str">
        <f aca="false">INDEX(T,8,lang)</f>
        <v>Final</v>
      </c>
      <c r="BR6" s="50"/>
      <c r="BS6" s="50"/>
      <c r="BT6" s="50"/>
    </row>
    <row r="7" customFormat="false" ht="15" hidden="false" customHeight="true" outlineLevel="0" collapsed="false">
      <c r="A7" s="51" t="n">
        <v>1</v>
      </c>
      <c r="B7" s="52" t="str">
        <f aca="false">INDEX(T,18+INT(MOD(R7-1,7)),lang)</f>
        <v>Thu</v>
      </c>
      <c r="C7" s="53" t="str">
        <f aca="false">INDEX(T,24+MONTH(R7),lang) &amp; " " &amp; DAY(R7) &amp; ", " &amp; YEAR(R7)</f>
        <v>Jun 14, 2018</v>
      </c>
      <c r="D7" s="54" t="n">
        <f aca="false">TIME(HOUR(R7),MINUTE(R7),0)</f>
        <v>0.458333333333333</v>
      </c>
      <c r="E7" s="55" t="str">
        <f aca="false">AB8</f>
        <v>Rusia</v>
      </c>
      <c r="F7" s="56" t="n">
        <v>5</v>
      </c>
      <c r="G7" s="57" t="n">
        <v>0</v>
      </c>
      <c r="H7" s="58" t="str">
        <f aca="false">AB9</f>
        <v>Arabia Saudita</v>
      </c>
      <c r="R7" s="40" t="n">
        <f aca="false">DATE(2018,6,14)+TIME(4,0,0)+gmt_delta</f>
        <v>43265.4583333333</v>
      </c>
      <c r="S7" s="41" t="str">
        <f aca="false">IF(OR(F7="",G7=""),"",IF(F7&gt;G7,E7&amp;"_win",IF(F7&lt;G7,E7&amp;"_lose",E7&amp;"_draw")))</f>
        <v>Rusia_win</v>
      </c>
      <c r="T7" s="41" t="str">
        <f aca="false">IF(S7="","",IF(F7&lt;G7,H7&amp;"_win",IF(F7&gt;G7,H7&amp;"_lose",H7&amp;"_draw")))</f>
        <v>Arabia Saudita_lose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1</v>
      </c>
      <c r="AY7" s="50"/>
      <c r="AZ7" s="50"/>
      <c r="BA7" s="50"/>
      <c r="BB7" s="50"/>
      <c r="BE7" s="50"/>
      <c r="BF7" s="50"/>
      <c r="BG7" s="50"/>
      <c r="BH7" s="50"/>
      <c r="BK7" s="50"/>
      <c r="BL7" s="50"/>
      <c r="BM7" s="50"/>
      <c r="BN7" s="50"/>
      <c r="BQ7" s="50"/>
      <c r="BR7" s="50"/>
      <c r="BS7" s="50"/>
      <c r="BT7" s="50"/>
    </row>
    <row r="8" customFormat="false" ht="15" hidden="false" customHeight="true" outlineLevel="0" collapsed="false">
      <c r="A8" s="59" t="n">
        <v>2</v>
      </c>
      <c r="B8" s="60" t="str">
        <f aca="false">INDEX(T,18+INT(MOD(R8-1,7)),lang)</f>
        <v>Fri</v>
      </c>
      <c r="C8" s="61" t="str">
        <f aca="false">INDEX(T,24+MONTH(R8),lang) &amp; " " &amp; DAY(R8) &amp; ", " &amp; YEAR(R8)</f>
        <v>Jun 15, 2018</v>
      </c>
      <c r="D8" s="62" t="n">
        <f aca="false">TIME(HOUR(R8),MINUTE(R8),0)</f>
        <v>0.333333333333333</v>
      </c>
      <c r="E8" s="63" t="str">
        <f aca="false">AB10</f>
        <v>Egipto</v>
      </c>
      <c r="F8" s="64" t="n">
        <v>0</v>
      </c>
      <c r="G8" s="65" t="n">
        <v>1</v>
      </c>
      <c r="H8" s="66" t="str">
        <f aca="false">AB11</f>
        <v>Uruguay</v>
      </c>
      <c r="J8" s="67" t="str">
        <f aca="false">INDEX(T,9,lang) &amp; " " &amp; "A"</f>
        <v>Grupo A</v>
      </c>
      <c r="K8" s="68" t="str">
        <f aca="false">INDEX(T,10,lang)</f>
        <v>J</v>
      </c>
      <c r="L8" s="68" t="str">
        <f aca="false">INDEX(T,11,lang)</f>
        <v>G</v>
      </c>
      <c r="M8" s="68" t="str">
        <f aca="false">INDEX(T,12,lang)</f>
        <v>DRAW</v>
      </c>
      <c r="N8" s="68" t="str">
        <f aca="false">INDEX(T,13,lang)</f>
        <v>P</v>
      </c>
      <c r="O8" s="68" t="str">
        <f aca="false">INDEX(T,14,lang)</f>
        <v>GF - GC</v>
      </c>
      <c r="P8" s="69" t="str">
        <f aca="false">INDEX(T,15,lang)</f>
        <v>PTS</v>
      </c>
      <c r="R8" s="40" t="n">
        <f aca="false">DATE(2018,6,15)+TIME(1,0,0)+gmt_delta</f>
        <v>43266.3333333333</v>
      </c>
      <c r="S8" s="41" t="str">
        <f aca="false">IF(OR(F8="",G8=""),"",IF(F8&gt;G8,E8&amp;"_win",IF(F8&lt;G8,E8&amp;"_lose",E8&amp;"_draw")))</f>
        <v>Egipto_lose</v>
      </c>
      <c r="T8" s="41" t="str">
        <f aca="false">IF(S8="","",IF(F8&lt;G8,H8&amp;"_win",IF(F8&gt;G8,H8&amp;"_lose",H8&amp;"_draw")))</f>
        <v>Uruguay_win</v>
      </c>
      <c r="U8" s="42" t="n">
        <f aca="false">IF(S8="",0,IF(VLOOKUP(E8,$AB$8:$AK$53,7,0)=VLOOKUP(H8,$AB$8:$AK$53,7,0),1,0))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2</v>
      </c>
      <c r="AB8" s="42" t="str">
        <f aca="false">VLOOKUP("Russia",T,lang,0)</f>
        <v>Rusia</v>
      </c>
      <c r="AC8" s="40" t="n">
        <f aca="false">COUNTIF($S$7:$T$54,"=" &amp; AB8 &amp; "_win")</f>
        <v>2</v>
      </c>
      <c r="AD8" s="40" t="n">
        <f aca="false">COUNTIF($S$7:$T$54,"=" &amp; AB8 &amp; "_draw")</f>
        <v>0</v>
      </c>
      <c r="AE8" s="40" t="n">
        <f aca="false">COUNTIF($S$7:$T$54,"=" &amp; AB8 &amp; "_lose")</f>
        <v>1</v>
      </c>
      <c r="AF8" s="40" t="n">
        <f aca="false">SUMIF($E$7:$E$54,$AB8,$F$7:$F$54) + SUMIF($H$7:$H$54,$AB8,$G$7:$G$54)</f>
        <v>8</v>
      </c>
      <c r="AG8" s="40" t="n">
        <f aca="false">SUMIF($E$7:$E$54,$AB8,$G$7:$G$54) + SUMIF($H$7:$H$54,$AB8,$F$7:$F$54)</f>
        <v>4</v>
      </c>
      <c r="AH8" s="40" t="n">
        <f aca="false">(AF8-AG8)+1</f>
        <v>5</v>
      </c>
      <c r="AI8" s="40" t="n">
        <f aca="false">AF8-AG8</f>
        <v>4</v>
      </c>
      <c r="AJ8" s="40" t="n">
        <f aca="false">(AI8-AI13)/AI12</f>
        <v>0.818181818181818</v>
      </c>
      <c r="AK8" s="40" t="n">
        <f aca="false">AC8*3+AD8</f>
        <v>6</v>
      </c>
      <c r="AL8" s="40" t="n">
        <f aca="false">AP8/AP12*1000+AQ8/AQ12*100+AT8/AT12*10+AR8/AR12</f>
        <v>0</v>
      </c>
      <c r="AM8" s="40" t="n">
        <f aca="false">VLOOKUP(AB8,db_fifarank,2,0)/2000000</f>
        <v>0.000267</v>
      </c>
      <c r="AN8" s="42" t="n">
        <f aca="false">1000*AK8/AK12+100*AJ8+10*AF8/AF12+1*AL8/AL12+AM8</f>
        <v>693.247020246753</v>
      </c>
      <c r="AO8" s="43" t="str">
        <f aca="false">IF(SUM(AC8:AE11)=12,J9,INDEX(T,70,lang))</f>
        <v>Uruguay</v>
      </c>
      <c r="AP8" s="44" t="n">
        <f aca="false">SUMPRODUCT(($S$7:$S$54=AB8&amp;"_win")*($U$7:$U$54))+SUMPRODUCT(($T$7:$T$54=AB8&amp;"_win")*($U$7:$U$54))</f>
        <v>0</v>
      </c>
      <c r="AQ8" s="44" t="n">
        <f aca="false">SUMPRODUCT(($S$7:$S$54=AB8&amp;"_draw")*($U$7:$U$54))+SUMPRODUCT(($T$7:$T$54=AB8&amp;"_draw")*($U$7:$U$54))</f>
        <v>0</v>
      </c>
      <c r="AR8" s="44" t="n">
        <f aca="false">SUMPRODUCT(($E$7:$E$54=AB8)*($U$7:$U$54)*($F$7:$F$54))+SUMPRODUCT(($H$7:$H$54=AB8)*($U$7:$U$54)*($G$7:$G$54))</f>
        <v>0</v>
      </c>
      <c r="AS8" s="44" t="n">
        <f aca="false">SUMPRODUCT(($E$7:$E$54=AB8)*($U$7:$U$54)*($G$7:$G$54))+SUMPRODUCT(($H$7:$H$54=AB8)*($U$7:$U$54)*($F$7:$F$54))</f>
        <v>0</v>
      </c>
      <c r="AT8" s="44" t="n">
        <f aca="false">AR8-AS8</f>
        <v>0</v>
      </c>
      <c r="BF8" s="70"/>
      <c r="BG8" s="70"/>
      <c r="BL8" s="70"/>
      <c r="BM8" s="70"/>
      <c r="BN8" s="70"/>
      <c r="BO8" s="70"/>
      <c r="BP8" s="70"/>
      <c r="BQ8" s="70"/>
      <c r="BR8" s="70"/>
      <c r="BS8" s="70"/>
      <c r="BT8" s="70"/>
    </row>
    <row r="9" customFormat="false" ht="15" hidden="false" customHeight="true" outlineLevel="0" collapsed="false">
      <c r="A9" s="59" t="n">
        <v>3</v>
      </c>
      <c r="B9" s="60" t="str">
        <f aca="false">INDEX(T,18+INT(MOD(R9-1,7)),lang)</f>
        <v>Fri</v>
      </c>
      <c r="C9" s="61" t="str">
        <f aca="false">INDEX(T,24+MONTH(R9),lang) &amp; " " &amp; DAY(R9) &amp; ", " &amp; YEAR(R9)</f>
        <v>Jun 15, 2018</v>
      </c>
      <c r="D9" s="62" t="n">
        <f aca="false">TIME(HOUR(R9),MINUTE(R9),0)</f>
        <v>0.583333333333333</v>
      </c>
      <c r="E9" s="63" t="str">
        <f aca="false">AB14</f>
        <v>Portugal</v>
      </c>
      <c r="F9" s="64" t="n">
        <v>3</v>
      </c>
      <c r="G9" s="65" t="n">
        <v>3</v>
      </c>
      <c r="H9" s="66" t="str">
        <f aca="false">AB15</f>
        <v>España</v>
      </c>
      <c r="J9" s="71" t="str">
        <f aca="false">VLOOKUP(1,AA8:AK11,2,0)</f>
        <v>Uruguay</v>
      </c>
      <c r="K9" s="72" t="n">
        <f aca="false">L9+M9+N9</f>
        <v>3</v>
      </c>
      <c r="L9" s="72" t="n">
        <f aca="false">VLOOKUP(1,AA8:AK11,3,0)</f>
        <v>3</v>
      </c>
      <c r="M9" s="72" t="n">
        <f aca="false">VLOOKUP(1,AA8:AK11,4,0)</f>
        <v>0</v>
      </c>
      <c r="N9" s="72" t="n">
        <f aca="false">VLOOKUP(1,AA8:AK11,5,0)</f>
        <v>0</v>
      </c>
      <c r="O9" s="72" t="str">
        <f aca="false">VLOOKUP(1,AA8:AK11,6,0) &amp; " - " &amp; VLOOKUP(1,AA8:AK11,7,0)</f>
        <v>5 - 0</v>
      </c>
      <c r="P9" s="73" t="n">
        <f aca="false">L9*3+M9</f>
        <v>9</v>
      </c>
      <c r="R9" s="40" t="n">
        <f aca="false">DATE(2018,6,15)+TIME(7,0,0)+gmt_delta</f>
        <v>43266.5833333333</v>
      </c>
      <c r="S9" s="41" t="str">
        <f aca="false">IF(OR(F9="",G9=""),"",IF(F9&gt;G9,E9&amp;"_win",IF(F9&lt;G9,E9&amp;"_lose",E9&amp;"_draw")))</f>
        <v>Portugal_draw</v>
      </c>
      <c r="T9" s="41" t="str">
        <f aca="false">IF(S9="","",IF(F9&lt;G9,H9&amp;"_win",IF(F9&gt;G9,H9&amp;"_lose",H9&amp;"_draw")))</f>
        <v>España_draw</v>
      </c>
      <c r="U9" s="42" t="n">
        <f aca="false">IF(S9="",0,IF(VLOOKUP(E9,$AB$8:$AK$53,7,0)=VLOOKUP(H9,$AB$8:$AK$53,7,0),1,0))</f>
        <v>0</v>
      </c>
      <c r="V9" s="40" t="n">
        <f aca="false">U9*F9</f>
        <v>0</v>
      </c>
      <c r="W9" s="40" t="n">
        <f aca="false">U9*G9</f>
        <v>0</v>
      </c>
      <c r="X9" s="40" t="n">
        <f aca="false">IF(OR(E9=my_team,H9=my_team),1,0)</f>
        <v>0</v>
      </c>
      <c r="Y9" s="40" t="n">
        <f aca="false">IF(OR(F9="",G9=""),"",IF(F9&gt;G9,1,IF(F9&lt;G9,-1,0)))</f>
        <v>0</v>
      </c>
      <c r="AA9" s="40" t="n">
        <f aca="false">COUNTIF(AN8:AN11,CONCATENATE("&gt;=",AN9))</f>
        <v>3</v>
      </c>
      <c r="AB9" s="42" t="str">
        <f aca="false">VLOOKUP("Saudi Arabia",T,lang,0)</f>
        <v>Arabia Saudita</v>
      </c>
      <c r="AC9" s="40" t="n">
        <f aca="false">COUNTIF($S$7:$T$54,"=" &amp; AB9 &amp; "_win")</f>
        <v>1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2</v>
      </c>
      <c r="AG9" s="40" t="n">
        <f aca="false">SUMIF($E$7:$E$54,$AB9,$G$7:$G$54) + SUMIF($H$7:$H$54,$AB9,$F$7:$F$54)</f>
        <v>7</v>
      </c>
      <c r="AH9" s="40" t="n">
        <f aca="false">(AF9-AG9)+1</f>
        <v>-4</v>
      </c>
      <c r="AI9" s="40" t="n">
        <f aca="false">AF9-AG9</f>
        <v>-5</v>
      </c>
      <c r="AJ9" s="40" t="n">
        <f aca="false">(AI9-AI13)/AI12</f>
        <v>0</v>
      </c>
      <c r="AK9" s="40" t="n">
        <f aca="false">AC9*3+AD9</f>
        <v>3</v>
      </c>
      <c r="AL9" s="40" t="n">
        <f aca="false">AP9/AP12*1000+AQ9/AQ12*100+AT9/AT12*10+AR9/AR12</f>
        <v>0</v>
      </c>
      <c r="AM9" s="40" t="n">
        <f aca="false">VLOOKUP(AB9,db_fifarank,2,0)/2000000</f>
        <v>0.0002715</v>
      </c>
      <c r="AN9" s="42" t="n">
        <f aca="false">1000*AK9/AK12+100*AJ9+10*AF9/AF12+1*AL9/AL12+AM9</f>
        <v>302.857414357143</v>
      </c>
      <c r="AO9" s="43" t="str">
        <f aca="false">IF(SUM(AC8:AE11)=12,J10,INDEX(T,71,lang))</f>
        <v>Rusia</v>
      </c>
      <c r="AP9" s="44" t="n">
        <f aca="false">SUMPRODUCT(($S$7:$S$54=AB9&amp;"_win")*($U$7:$U$54))+SUMPRODUCT(($T$7:$T$54=AB9&amp;"_win")*($U$7:$U$54))</f>
        <v>0</v>
      </c>
      <c r="AQ9" s="44" t="n">
        <f aca="false">SUMPRODUCT(($S$7:$S$54=AB9&amp;"_draw")*($U$7:$U$54))+SUMPRODUCT(($T$7:$T$54=AB9&amp;"_draw")*($U$7:$U$54))</f>
        <v>0</v>
      </c>
      <c r="AR9" s="44" t="n">
        <f aca="false">SUMPRODUCT(($E$7:$E$54=AB9)*($U$7:$U$54)*($F$7:$F$54))+SUMPRODUCT(($H$7:$H$54=AB9)*($U$7:$U$54)*($G$7:$G$54))</f>
        <v>0</v>
      </c>
      <c r="AS9" s="44" t="n">
        <f aca="false">SUMPRODUCT(($E$7:$E$54=AB9)*($U$7:$U$54)*($G$7:$G$54))+SUMPRODUCT(($H$7:$H$54=AB9)*($U$7:$U$54)*($F$7:$F$54))</f>
        <v>0</v>
      </c>
      <c r="AT9" s="44" t="n">
        <f aca="false">AR9-AS9</f>
        <v>0</v>
      </c>
      <c r="AY9" s="70" t="str">
        <f aca="false">INDEX(T,24+MONTH(R58),lang) &amp; " " &amp; DAY(R58) &amp; ", " &amp; YEAR(R58) &amp; "   " &amp; TEXT(TIME(HOUR(R58),MINUTE(R58),0),"hh:mm")</f>
        <v>Jun 30, 2018   14:00</v>
      </c>
      <c r="AZ9" s="70"/>
      <c r="BA9" s="70"/>
      <c r="BB9" s="74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</row>
    <row r="10" customFormat="false" ht="15" hidden="false" customHeight="true" outlineLevel="0" collapsed="false">
      <c r="A10" s="59" t="n">
        <v>4</v>
      </c>
      <c r="B10" s="60" t="str">
        <f aca="false">INDEX(T,18+INT(MOD(R10-1,7)),lang)</f>
        <v>Fri</v>
      </c>
      <c r="C10" s="61" t="str">
        <f aca="false">INDEX(T,24+MONTH(R10),lang) &amp; " " &amp; DAY(R10) &amp; ", " &amp; YEAR(R10)</f>
        <v>Jun 15, 2018</v>
      </c>
      <c r="D10" s="62" t="n">
        <f aca="false">TIME(HOUR(R10),MINUTE(R10),0)</f>
        <v>0.458333333333333</v>
      </c>
      <c r="E10" s="63" t="str">
        <f aca="false">AB16</f>
        <v>Marruecos</v>
      </c>
      <c r="F10" s="64" t="n">
        <v>0</v>
      </c>
      <c r="G10" s="65" t="n">
        <v>1</v>
      </c>
      <c r="H10" s="66" t="str">
        <f aca="false">AB17</f>
        <v>Irán</v>
      </c>
      <c r="J10" s="75" t="str">
        <f aca="false">VLOOKUP(2,AA8:AK11,2,0)</f>
        <v>Rusia</v>
      </c>
      <c r="K10" s="76" t="n">
        <f aca="false">L10+M10+N10</f>
        <v>3</v>
      </c>
      <c r="L10" s="76" t="n">
        <f aca="false">VLOOKUP(2,AA8:AK11,3,0)</f>
        <v>2</v>
      </c>
      <c r="M10" s="76" t="n">
        <f aca="false">VLOOKUP(2,AA8:AK11,4,0)</f>
        <v>0</v>
      </c>
      <c r="N10" s="76" t="n">
        <f aca="false">VLOOKUP(2,AA8:AK11,5,0)</f>
        <v>1</v>
      </c>
      <c r="O10" s="76" t="str">
        <f aca="false">VLOOKUP(2,AA8:AK11,6,0) &amp; " - " &amp; VLOOKUP(2,AA8:AK11,7,0)</f>
        <v>8 - 4</v>
      </c>
      <c r="P10" s="77" t="n">
        <f aca="false">L10*3+M10</f>
        <v>6</v>
      </c>
      <c r="R10" s="40" t="n">
        <f aca="false">DATE(2018,6,15)+TIME(4,0,0)+gmt_delta</f>
        <v>43266.4583333333</v>
      </c>
      <c r="S10" s="41" t="str">
        <f aca="false">IF(OR(F10="",G10=""),"",IF(F10&gt;G10,E10&amp;"_win",IF(F10&lt;G10,E10&amp;"_lose",E10&amp;"_draw")))</f>
        <v>Marruecos_lose</v>
      </c>
      <c r="T10" s="41" t="str">
        <f aca="false">IF(S10="","",IF(F10&lt;G10,H10&amp;"_win",IF(F10&gt;G10,H10&amp;"_lose",H10&amp;"_draw")))</f>
        <v>Irán_win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4</v>
      </c>
      <c r="AB10" s="42" t="str">
        <f aca="false">VLOOKUP("Egypt",T,lang,0)</f>
        <v>Egipto</v>
      </c>
      <c r="AC10" s="40" t="n">
        <f aca="false">COUNTIF($S$7:$T$54,"=" &amp; AB10 &amp; "_win")</f>
        <v>0</v>
      </c>
      <c r="AD10" s="40" t="n">
        <f aca="false">COUNTIF($S$7:$T$54,"=" &amp; AB10 &amp; "_draw")</f>
        <v>0</v>
      </c>
      <c r="AE10" s="40" t="n">
        <f aca="false">COUNTIF($S$7:$T$54,"=" &amp; AB10 &amp; "_lose")</f>
        <v>3</v>
      </c>
      <c r="AF10" s="40" t="n">
        <f aca="false">SUMIF($E$7:$E$54,$AB10,$F$7:$F$54) + SUMIF($H$7:$H$54,$AB10,$G$7:$G$54)</f>
        <v>2</v>
      </c>
      <c r="AG10" s="40" t="n">
        <f aca="false">SUMIF($E$7:$E$54,$AB10,$G$7:$G$54) + SUMIF($H$7:$H$54,$AB10,$F$7:$F$54)</f>
        <v>6</v>
      </c>
      <c r="AH10" s="40" t="n">
        <f aca="false">(AF10-AG10)+1</f>
        <v>-3</v>
      </c>
      <c r="AI10" s="40" t="n">
        <f aca="false">AF10-AG10</f>
        <v>-4</v>
      </c>
      <c r="AJ10" s="40" t="n">
        <f aca="false">(AI10-AI13)/AI12</f>
        <v>0.0909090909090909</v>
      </c>
      <c r="AK10" s="40" t="n">
        <f aca="false">AC10*3+AD10</f>
        <v>0</v>
      </c>
      <c r="AL10" s="40" t="n">
        <f aca="false">AP10/AP12*1000+AQ10/AQ12*100+AT10/AT12*10+AR10/AR12</f>
        <v>0</v>
      </c>
      <c r="AM10" s="40" t="n">
        <f aca="false">VLOOKUP(AB10,db_fifarank,2,0)/2000000</f>
        <v>0.0004025</v>
      </c>
      <c r="AN10" s="42" t="n">
        <f aca="false">1000*AK10/AK12+100*AJ10+10*AF10/AF12+1*AL10/AL12+AM10</f>
        <v>11.9484544480519</v>
      </c>
      <c r="AP10" s="44" t="n">
        <f aca="false">SUMPRODUCT(($S$7:$S$54=AB10&amp;"_win")*($U$7:$U$54))+SUMPRODUCT(($T$7:$T$54=AB10&amp;"_win")*($U$7:$U$54))</f>
        <v>0</v>
      </c>
      <c r="AQ10" s="44" t="n">
        <f aca="false">SUMPRODUCT(($S$7:$S$54=AB10&amp;"_draw")*($U$7:$U$54))+SUMPRODUCT(($T$7:$T$54=AB10&amp;"_draw")*($U$7:$U$54))</f>
        <v>0</v>
      </c>
      <c r="AR10" s="44" t="n">
        <f aca="false">SUMPRODUCT(($E$7:$E$54=AB10)*($U$7:$U$54)*($F$7:$F$54))+SUMPRODUCT(($H$7:$H$54=AB10)*($U$7:$U$54)*($G$7:$G$54))</f>
        <v>0</v>
      </c>
      <c r="AS10" s="44" t="n">
        <f aca="false">SUMPRODUCT(($E$7:$E$54=AB10)*($U$7:$U$54)*($G$7:$G$54))+SUMPRODUCT(($H$7:$H$54=AB10)*($U$7:$U$54)*($F$7:$F$54))</f>
        <v>0</v>
      </c>
      <c r="AT10" s="44" t="n">
        <f aca="false">AR10-AS10</f>
        <v>0</v>
      </c>
      <c r="AY10" s="78" t="n">
        <v>49</v>
      </c>
      <c r="AZ10" s="79" t="str">
        <f aca="false">AO8</f>
        <v>Uruguay</v>
      </c>
      <c r="BA10" s="80"/>
      <c r="BB10" s="81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</row>
    <row r="11" customFormat="false" ht="15" hidden="false" customHeight="true" outlineLevel="0" collapsed="false">
      <c r="A11" s="59" t="n">
        <v>5</v>
      </c>
      <c r="B11" s="60" t="str">
        <f aca="false">INDEX(T,18+INT(MOD(R11-1,7)),lang)</f>
        <v>Sat</v>
      </c>
      <c r="C11" s="61" t="str">
        <f aca="false">INDEX(T,24+MONTH(R11),lang) &amp; " " &amp; DAY(R11) &amp; ", " &amp; YEAR(R11)</f>
        <v>Jun 16, 2018</v>
      </c>
      <c r="D11" s="62" t="n">
        <f aca="false">TIME(HOUR(R11),MINUTE(R11),0)</f>
        <v>0.25</v>
      </c>
      <c r="E11" s="63" t="str">
        <f aca="false">AB20</f>
        <v>Francia</v>
      </c>
      <c r="F11" s="64" t="n">
        <v>2</v>
      </c>
      <c r="G11" s="65" t="n">
        <v>1</v>
      </c>
      <c r="H11" s="66" t="str">
        <f aca="false">AB21</f>
        <v>Australia</v>
      </c>
      <c r="J11" s="75" t="str">
        <f aca="false">VLOOKUP(3,AA8:AK11,2,0)</f>
        <v>Arabia Saudita</v>
      </c>
      <c r="K11" s="76" t="n">
        <f aca="false">L11+M11+N11</f>
        <v>3</v>
      </c>
      <c r="L11" s="76" t="n">
        <f aca="false">VLOOKUP(3,AA8:AK11,3,0)</f>
        <v>1</v>
      </c>
      <c r="M11" s="76" t="n">
        <f aca="false">VLOOKUP(3,AA8:AK11,4,0)</f>
        <v>0</v>
      </c>
      <c r="N11" s="76" t="n">
        <f aca="false">VLOOKUP(3,AA8:AK11,5,0)</f>
        <v>2</v>
      </c>
      <c r="O11" s="76" t="str">
        <f aca="false">VLOOKUP(3,AA8:AK11,6,0) &amp; " - " &amp; VLOOKUP(3,AA8:AK11,7,0)</f>
        <v>2 - 7</v>
      </c>
      <c r="P11" s="77" t="n">
        <f aca="false">L11*3+M11</f>
        <v>3</v>
      </c>
      <c r="R11" s="40" t="n">
        <f aca="false">DATE(2018,6,15)+TIME(23,0,0)+gmt_delta</f>
        <v>43267.25</v>
      </c>
      <c r="S11" s="41" t="str">
        <f aca="false">IF(OR(F11="",G11=""),"",IF(F11&gt;G11,E11&amp;"_win",IF(F11&lt;G11,E11&amp;"_lose",E11&amp;"_draw")))</f>
        <v>Francia_win</v>
      </c>
      <c r="T11" s="41" t="str">
        <f aca="false">IF(S11="","",IF(F11&lt;G11,H11&amp;"_win",IF(F11&gt;G11,H11&amp;"_lose",H11&amp;"_draw")))</f>
        <v>Australia_lose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1</v>
      </c>
      <c r="AB11" s="42" t="str">
        <f aca="false">VLOOKUP("Uruguay",T,lang,0)</f>
        <v>Uruguay</v>
      </c>
      <c r="AC11" s="40" t="n">
        <f aca="false">COUNTIF($S$7:$T$54,"=" &amp; AB11 &amp; "_win")</f>
        <v>3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5</v>
      </c>
      <c r="AG11" s="40" t="n">
        <f aca="false">SUMIF($E$7:$E$54,$AB11,$G$7:$G$54) + SUMIF($H$7:$H$54,$AB11,$F$7:$F$54)</f>
        <v>0</v>
      </c>
      <c r="AH11" s="40" t="n">
        <f aca="false">(AF11-AG11)+1</f>
        <v>6</v>
      </c>
      <c r="AI11" s="40" t="n">
        <f aca="false">AF11-AG11</f>
        <v>5</v>
      </c>
      <c r="AJ11" s="40" t="n">
        <f aca="false">(AI11-AI13)/AI12</f>
        <v>0.909090909090909</v>
      </c>
      <c r="AK11" s="40" t="n">
        <f aca="false">AC11*3+AD11</f>
        <v>9</v>
      </c>
      <c r="AL11" s="40" t="n">
        <f aca="false">AP11/AP12*1000+AQ11/AQ12*100+AT11/AT12*10+AR11/AR12</f>
        <v>0</v>
      </c>
      <c r="AM11" s="40" t="n">
        <f aca="false">VLOOKUP(AB11,db_fifarank,2,0)/2000000</f>
        <v>0.000462</v>
      </c>
      <c r="AN11" s="42" t="n">
        <f aca="false">1000*AK11/AK12+100*AJ11+10*AF11/AF12+1*AL11/AL12+AM11</f>
        <v>998.052410051948</v>
      </c>
      <c r="AP11" s="44" t="n">
        <f aca="false">SUMPRODUCT(($S$7:$S$54=AB11&amp;"_win")*($U$7:$U$54))+SUMPRODUCT(($T$7:$T$54=AB11&amp;"_win")*($U$7:$U$54))</f>
        <v>0</v>
      </c>
      <c r="AQ11" s="44" t="n">
        <f aca="false">SUMPRODUCT(($S$7:$S$54=AB11&amp;"_draw")*($U$7:$U$54))+SUMPRODUCT(($T$7:$T$54=AB11&amp;"_draw")*($U$7:$U$54))</f>
        <v>0</v>
      </c>
      <c r="AR11" s="44" t="n">
        <f aca="false">SUMPRODUCT(($E$7:$E$54=AB11)*($U$7:$U$54)*($F$7:$F$54))+SUMPRODUCT(($H$7:$H$54=AB11)*($U$7:$U$54)*($G$7:$G$54))</f>
        <v>0</v>
      </c>
      <c r="AS11" s="44" t="n">
        <f aca="false">SUMPRODUCT(($E$7:$E$54=AB11)*($U$7:$U$54)*($G$7:$G$54))+SUMPRODUCT(($H$7:$H$54=AB11)*($U$7:$U$54)*($F$7:$F$54))</f>
        <v>0</v>
      </c>
      <c r="AT11" s="44" t="n">
        <f aca="false">AR11-AS11</f>
        <v>0</v>
      </c>
      <c r="AY11" s="78"/>
      <c r="AZ11" s="82" t="str">
        <f aca="false">AO15</f>
        <v>Portugal</v>
      </c>
      <c r="BA11" s="83"/>
      <c r="BB11" s="84"/>
      <c r="BC11" s="85"/>
      <c r="BD11" s="70"/>
      <c r="BE11" s="70" t="str">
        <f aca="false">INDEX(T,24+MONTH(R69),lang) &amp; " " &amp; DAY(R69) &amp; ", " &amp; YEAR(R69) &amp; "   " &amp; TEXT(TIME(HOUR(R69),MINUTE(R69),0),"hh:mm")</f>
        <v>Jul 6, 2018   10:00</v>
      </c>
      <c r="BF11" s="70"/>
      <c r="BG11" s="70"/>
      <c r="BH11" s="86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</row>
    <row r="12" customFormat="false" ht="15" hidden="false" customHeight="true" outlineLevel="0" collapsed="false">
      <c r="A12" s="59" t="n">
        <v>6</v>
      </c>
      <c r="B12" s="60" t="str">
        <f aca="false">INDEX(T,18+INT(MOD(R12-1,7)),lang)</f>
        <v>Sat</v>
      </c>
      <c r="C12" s="61" t="str">
        <f aca="false">INDEX(T,24+MONTH(R12),lang) &amp; " " &amp; DAY(R12) &amp; ", " &amp; YEAR(R12)</f>
        <v>Jun 16, 2018</v>
      </c>
      <c r="D12" s="62" t="n">
        <f aca="false">TIME(HOUR(R12),MINUTE(R12),0)</f>
        <v>0.5</v>
      </c>
      <c r="E12" s="63" t="str">
        <f aca="false">AB22</f>
        <v>Perú</v>
      </c>
      <c r="F12" s="64" t="n">
        <v>0</v>
      </c>
      <c r="G12" s="65" t="n">
        <v>1</v>
      </c>
      <c r="H12" s="66" t="str">
        <f aca="false">AB23</f>
        <v>Dinamarca</v>
      </c>
      <c r="J12" s="87" t="str">
        <f aca="false">VLOOKUP(4,AA8:AK11,2,0)</f>
        <v>Egipto</v>
      </c>
      <c r="K12" s="88" t="n">
        <f aca="false">L12+M12+N12</f>
        <v>3</v>
      </c>
      <c r="L12" s="88" t="n">
        <f aca="false">VLOOKUP(4,AA8:AK11,3,0)</f>
        <v>0</v>
      </c>
      <c r="M12" s="88" t="n">
        <f aca="false">VLOOKUP(4,AA8:AK11,4,0)</f>
        <v>0</v>
      </c>
      <c r="N12" s="88" t="n">
        <f aca="false">VLOOKUP(4,AA8:AK11,5,0)</f>
        <v>3</v>
      </c>
      <c r="O12" s="88" t="str">
        <f aca="false">VLOOKUP(4,AA8:AK11,6,0) &amp; " - " &amp; VLOOKUP(4,AA8:AK11,7,0)</f>
        <v>2 - 6</v>
      </c>
      <c r="P12" s="89" t="n">
        <f aca="false">L12*3+M12</f>
        <v>0</v>
      </c>
      <c r="R12" s="40" t="n">
        <f aca="false">DATE(2018,6,16)+TIME(5,0,0)+gmt_delta</f>
        <v>43267.5</v>
      </c>
      <c r="S12" s="41" t="str">
        <f aca="false">IF(OR(F12="",G12=""),"",IF(F12&gt;G12,E12&amp;"_win",IF(F12&lt;G12,E12&amp;"_lose",E12&amp;"_draw")))</f>
        <v>Perú_lose</v>
      </c>
      <c r="T12" s="41" t="str">
        <f aca="false">IF(S12="","",IF(F12&lt;G12,H12&amp;"_win",IF(F12&gt;G12,H12&amp;"_lose",H12&amp;"_draw")))</f>
        <v>Dinamarca_win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4</v>
      </c>
      <c r="AD12" s="40" t="n">
        <f aca="false">MAX(AD8:AD11)-MIN(AD8:AD11)+1</f>
        <v>1</v>
      </c>
      <c r="AE12" s="40" t="n">
        <f aca="false">MAX(AE8:AE11)-MIN(AE8:AE11)+1</f>
        <v>4</v>
      </c>
      <c r="AF12" s="40" t="n">
        <f aca="false">MAX(AF8:AF11)-MIN(AF8:AF11)+1</f>
        <v>7</v>
      </c>
      <c r="AG12" s="40" t="n">
        <f aca="false">MAX(AG8:AG11)-MIN(AG8:AG11)+1</f>
        <v>8</v>
      </c>
      <c r="AH12" s="40" t="n">
        <f aca="false">MAX(AH8:AH11)-AH13+1</f>
        <v>11</v>
      </c>
      <c r="AI12" s="40" t="n">
        <f aca="false">MAX(AI8:AI11)-AI13+1</f>
        <v>11</v>
      </c>
      <c r="AK12" s="40" t="n">
        <f aca="false">MAX(AK8:AK11)-MIN(AK8:AK11)+1</f>
        <v>10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70"/>
      <c r="AZ12" s="70"/>
      <c r="BA12" s="70"/>
      <c r="BB12" s="70"/>
      <c r="BC12" s="90"/>
      <c r="BD12" s="70"/>
      <c r="BE12" s="78" t="n">
        <v>57</v>
      </c>
      <c r="BF12" s="79" t="str">
        <f aca="false">T58</f>
        <v>W49</v>
      </c>
      <c r="BG12" s="80"/>
      <c r="BH12" s="81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</row>
    <row r="13" customFormat="false" ht="15" hidden="false" customHeight="true" outlineLevel="0" collapsed="false">
      <c r="A13" s="59" t="n">
        <v>7</v>
      </c>
      <c r="B13" s="60" t="str">
        <f aca="false">INDEX(T,18+INT(MOD(R13-1,7)),lang)</f>
        <v>Sat</v>
      </c>
      <c r="C13" s="61" t="str">
        <f aca="false">INDEX(T,24+MONTH(R13),lang) &amp; " " &amp; DAY(R13) &amp; ", " &amp; YEAR(R13)</f>
        <v>Jun 16, 2018</v>
      </c>
      <c r="D13" s="62" t="n">
        <f aca="false">TIME(HOUR(R13),MINUTE(R13),0)</f>
        <v>0.375</v>
      </c>
      <c r="E13" s="63" t="str">
        <f aca="false">AB26</f>
        <v>Argentina</v>
      </c>
      <c r="F13" s="64" t="n">
        <v>1</v>
      </c>
      <c r="G13" s="65" t="n">
        <v>1</v>
      </c>
      <c r="H13" s="66" t="str">
        <f aca="false">AB27</f>
        <v>Islandia</v>
      </c>
      <c r="J13" s="91"/>
      <c r="K13" s="92"/>
      <c r="L13" s="92"/>
      <c r="M13" s="92"/>
      <c r="N13" s="92"/>
      <c r="O13" s="92"/>
      <c r="P13" s="92"/>
      <c r="R13" s="40" t="n">
        <f aca="false">DATE(2018,6,16)+TIME(2,0,0)+gmt_delta</f>
        <v>43267.375</v>
      </c>
      <c r="S13" s="41" t="str">
        <f aca="false">IF(OR(F13="",G13=""),"",IF(F13&gt;G13,E13&amp;"_win",IF(F13&lt;G13,E13&amp;"_lose",E13&amp;"_draw")))</f>
        <v>Argentina_draw</v>
      </c>
      <c r="T13" s="41" t="str">
        <f aca="false">IF(S13="","",IF(F13&lt;G13,H13&amp;"_win",IF(F13&gt;G13,H13&amp;"_lose",H13&amp;"_draw")))</f>
        <v>Islandia_draw</v>
      </c>
      <c r="U13" s="42" t="n">
        <f aca="false">IF(S13="",0,IF(VLOOKUP(E13,$AB$8:$AK$53,7,0)=VLOOKUP(H13,$AB$8:$AK$53,7,0),1,0))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-4</v>
      </c>
      <c r="AI13" s="40" t="n">
        <f aca="false">MIN(AI8:AI11)</f>
        <v>-5</v>
      </c>
      <c r="AY13" s="70" t="str">
        <f aca="false">INDEX(T,24+MONTH(R59),lang) &amp; " " &amp; DAY(R59) &amp; ", " &amp; YEAR(R59) &amp; "   " &amp; TEXT(TIME(HOUR(R59),MINUTE(R59),0),"hh:mm")</f>
        <v>Jun 30, 2018   10:00</v>
      </c>
      <c r="AZ13" s="70"/>
      <c r="BA13" s="70"/>
      <c r="BB13" s="86"/>
      <c r="BC13" s="90"/>
      <c r="BD13" s="93"/>
      <c r="BE13" s="78"/>
      <c r="BF13" s="82" t="str">
        <f aca="false">T59</f>
        <v>W50</v>
      </c>
      <c r="BG13" s="83"/>
      <c r="BH13" s="84"/>
      <c r="BI13" s="85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</row>
    <row r="14" customFormat="false" ht="15" hidden="false" customHeight="true" outlineLevel="0" collapsed="false">
      <c r="A14" s="59" t="n">
        <v>8</v>
      </c>
      <c r="B14" s="60" t="str">
        <f aca="false">INDEX(T,18+INT(MOD(R14-1,7)),lang)</f>
        <v>Sat</v>
      </c>
      <c r="C14" s="61" t="str">
        <f aca="false">INDEX(T,24+MONTH(R14),lang) &amp; " " &amp; DAY(R14) &amp; ", " &amp; YEAR(R14)</f>
        <v>Jun 16, 2018</v>
      </c>
      <c r="D14" s="62" t="n">
        <f aca="false">TIME(HOUR(R14),MINUTE(R14),0)</f>
        <v>0.625</v>
      </c>
      <c r="E14" s="63" t="str">
        <f aca="false">AB28</f>
        <v>Croacia</v>
      </c>
      <c r="F14" s="64" t="n">
        <v>2</v>
      </c>
      <c r="G14" s="65" t="n">
        <v>0</v>
      </c>
      <c r="H14" s="66" t="str">
        <f aca="false">AB29</f>
        <v>Nigeria</v>
      </c>
      <c r="J14" s="67" t="str">
        <f aca="false">INDEX(T,9,lang) &amp; " " &amp; "B"</f>
        <v>Grupo B</v>
      </c>
      <c r="K14" s="68" t="str">
        <f aca="false">INDEX(T,10,lang)</f>
        <v>J</v>
      </c>
      <c r="L14" s="68" t="str">
        <f aca="false">INDEX(T,11,lang)</f>
        <v>G</v>
      </c>
      <c r="M14" s="68" t="str">
        <f aca="false">INDEX(T,12,lang)</f>
        <v>DRAW</v>
      </c>
      <c r="N14" s="68" t="str">
        <f aca="false">INDEX(T,13,lang)</f>
        <v>P</v>
      </c>
      <c r="O14" s="68" t="str">
        <f aca="false">INDEX(T,14,lang)</f>
        <v>GF - GC</v>
      </c>
      <c r="P14" s="69" t="str">
        <f aca="false">INDEX(T,15,lang)</f>
        <v>PTS</v>
      </c>
      <c r="R14" s="40" t="n">
        <f aca="false">DATE(2018,6,16)+TIME(8,0,0)+gmt_delta</f>
        <v>43267.625</v>
      </c>
      <c r="S14" s="41" t="str">
        <f aca="false">IF(OR(F14="",G14=""),"",IF(F14&gt;G14,E14&amp;"_win",IF(F14&lt;G14,E14&amp;"_lose",E14&amp;"_draw")))</f>
        <v>Croacia_win</v>
      </c>
      <c r="T14" s="41" t="str">
        <f aca="false">IF(S14="","",IF(F14&lt;G14,H14&amp;"_win",IF(F14&gt;G14,H14&amp;"_lose",H14&amp;"_draw")))</f>
        <v>Nigeria_lose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2</v>
      </c>
      <c r="AB14" s="42" t="str">
        <f aca="false">VLOOKUP("Portugal",T,lang,0)</f>
        <v>Portugal</v>
      </c>
      <c r="AC14" s="40" t="n">
        <f aca="false">COUNTIF($S$7:$T$54,"=" &amp; AB14 &amp; "_win")</f>
        <v>1</v>
      </c>
      <c r="AD14" s="40" t="n">
        <f aca="false">COUNTIF($S$7:$T$54,"=" &amp; AB14 &amp; "_draw")</f>
        <v>2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5</v>
      </c>
      <c r="AG14" s="40" t="n">
        <f aca="false">SUMIF($E$7:$E$54,$AB14,$G$7:$G$54) + SUMIF($H$7:$H$54,$AB14,$F$7:$F$54)</f>
        <v>4</v>
      </c>
      <c r="AH14" s="40" t="n">
        <f aca="false">(AF14-AG14)*100+AK14*10000+AF14</f>
        <v>50105</v>
      </c>
      <c r="AI14" s="40" t="n">
        <f aca="false">AF14-AG14</f>
        <v>1</v>
      </c>
      <c r="AJ14" s="40" t="n">
        <f aca="false">(AI14-AI19)/AI18</f>
        <v>0.75</v>
      </c>
      <c r="AK14" s="40" t="n">
        <f aca="false">AC14*3+AD14</f>
        <v>5</v>
      </c>
      <c r="AL14" s="40" t="n">
        <f aca="false">AP14/AP18*1000+AQ14/AQ18*100+AT14/AT18*10+AR14/AR18</f>
        <v>0</v>
      </c>
      <c r="AM14" s="40" t="n">
        <f aca="false">VLOOKUP(AB14,db_fifarank,2,0)/2000000</f>
        <v>0.000679</v>
      </c>
      <c r="AN14" s="42" t="n">
        <f aca="false">1000*AK14/AK18+100*AJ14+10*AF14/AF18+1*AL14/AL18+AM14</f>
        <v>1085.000679</v>
      </c>
      <c r="AO14" s="43" t="str">
        <f aca="false">IF(SUM(AC14:AE17)=12,J15,INDEX(T,72,lang))</f>
        <v>España</v>
      </c>
      <c r="AP14" s="44" t="n">
        <f aca="false">SUMPRODUCT(($S$7:$S$54=AB14&amp;"_win")*($U$7:$U$54))+SUMPRODUCT(($T$7:$T$54=AB14&amp;"_win")*($U$7:$U$54))</f>
        <v>0</v>
      </c>
      <c r="AQ14" s="44" t="n">
        <f aca="false">SUMPRODUCT(($S$7:$S$54=AB14&amp;"_draw")*($U$7:$U$54))+SUMPRODUCT(($T$7:$T$54=AB14&amp;"_draw")*($U$7:$U$54))</f>
        <v>0</v>
      </c>
      <c r="AR14" s="44" t="n">
        <f aca="false">SUMPRODUCT(($E$7:$E$54=AB14)*($U$7:$U$54)*($F$7:$F$54))+SUMPRODUCT(($H$7:$H$54=AB14)*($U$7:$U$54)*($G$7:$G$54))</f>
        <v>0</v>
      </c>
      <c r="AS14" s="44" t="n">
        <f aca="false">SUMPRODUCT(($E$7:$E$54=AB14)*($U$7:$U$54)*($G$7:$G$54))+SUMPRODUCT(($H$7:$H$54=AB14)*($U$7:$U$54)*($F$7:$F$54))</f>
        <v>0</v>
      </c>
      <c r="AT14" s="44" t="n">
        <f aca="false">AR14-AS14</f>
        <v>0</v>
      </c>
      <c r="AY14" s="78" t="n">
        <v>50</v>
      </c>
      <c r="AZ14" s="79" t="str">
        <f aca="false">AO20</f>
        <v>Francia</v>
      </c>
      <c r="BA14" s="80"/>
      <c r="BB14" s="81"/>
      <c r="BC14" s="94"/>
      <c r="BD14" s="70"/>
      <c r="BE14" s="70"/>
      <c r="BF14" s="70"/>
      <c r="BG14" s="70"/>
      <c r="BH14" s="70"/>
      <c r="BI14" s="90"/>
      <c r="BJ14" s="70"/>
      <c r="BK14" s="70"/>
      <c r="BL14" s="70"/>
      <c r="BM14" s="70"/>
      <c r="BN14" s="86"/>
      <c r="BO14" s="70"/>
      <c r="BP14" s="70"/>
      <c r="BQ14" s="70"/>
      <c r="BR14" s="70"/>
      <c r="BS14" s="70"/>
      <c r="BT14" s="70"/>
    </row>
    <row r="15" customFormat="false" ht="15" hidden="false" customHeight="true" outlineLevel="0" collapsed="false">
      <c r="A15" s="59" t="n">
        <v>9</v>
      </c>
      <c r="B15" s="60" t="str">
        <f aca="false">INDEX(T,18+INT(MOD(R15-1,7)),lang)</f>
        <v>Sun</v>
      </c>
      <c r="C15" s="61" t="str">
        <f aca="false">INDEX(T,24+MONTH(R15),lang) &amp; " " &amp; DAY(R15) &amp; ", " &amp; YEAR(R15)</f>
        <v>Jun 17, 2018</v>
      </c>
      <c r="D15" s="62" t="n">
        <f aca="false">TIME(HOUR(R15),MINUTE(R15),0)</f>
        <v>0.583333333333333</v>
      </c>
      <c r="E15" s="63" t="str">
        <f aca="false">AB32</f>
        <v>Brasil</v>
      </c>
      <c r="F15" s="64" t="n">
        <v>1</v>
      </c>
      <c r="G15" s="65" t="n">
        <v>1</v>
      </c>
      <c r="H15" s="66" t="str">
        <f aca="false">AB33</f>
        <v>Suiza</v>
      </c>
      <c r="J15" s="71" t="str">
        <f aca="false">VLOOKUP(1,AA14:AK17,2,0)</f>
        <v>España</v>
      </c>
      <c r="K15" s="72" t="n">
        <f aca="false">L15+M15+N15</f>
        <v>3</v>
      </c>
      <c r="L15" s="72" t="n">
        <f aca="false">VLOOKUP(1,AA14:AK17,3,0)</f>
        <v>1</v>
      </c>
      <c r="M15" s="72" t="n">
        <f aca="false">VLOOKUP(1,AA14:AK17,4,0)</f>
        <v>2</v>
      </c>
      <c r="N15" s="72" t="n">
        <f aca="false">VLOOKUP(1,AA14:AK17,5,0)</f>
        <v>0</v>
      </c>
      <c r="O15" s="72" t="str">
        <f aca="false">VLOOKUP(1,AA14:AK17,6,0) &amp; " - " &amp; VLOOKUP(1,AA14:AK17,7,0)</f>
        <v>6 - 5</v>
      </c>
      <c r="P15" s="73" t="n">
        <f aca="false">L15*3+M15</f>
        <v>5</v>
      </c>
      <c r="R15" s="40" t="n">
        <f aca="false">DATE(2018,6,17)+TIME(7,0,0)+gmt_delta</f>
        <v>43268.5833333333</v>
      </c>
      <c r="S15" s="41" t="str">
        <f aca="false">IF(OR(F15="",G15=""),"",IF(F15&gt;G15,E15&amp;"_win",IF(F15&lt;G15,E15&amp;"_lose",E15&amp;"_draw")))</f>
        <v>Brasil_draw</v>
      </c>
      <c r="T15" s="41" t="str">
        <f aca="false">IF(S15="","",IF(F15&lt;G15,H15&amp;"_win",IF(F15&gt;G15,H15&amp;"_lose",H15&amp;"_draw")))</f>
        <v>Suiza_draw</v>
      </c>
      <c r="U15" s="42" t="n">
        <f aca="false">IF(S15="",0,IF(VLOOKUP(E15,$AB$8:$AK$53,7,0)=VLOOKUP(H15,$AB$8:$AK$53,7,0),1,0))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0</v>
      </c>
      <c r="AA15" s="40" t="n">
        <f aca="false">COUNTIF(AN14:AN17,CONCATENATE("&gt;=",AN15))</f>
        <v>1</v>
      </c>
      <c r="AB15" s="42" t="str">
        <f aca="false">VLOOKUP("Spain",T,lang,0)</f>
        <v>España</v>
      </c>
      <c r="AC15" s="40" t="n">
        <f aca="false">COUNTIF($S$7:$T$54,"=" &amp; AB15 &amp; "_win")</f>
        <v>1</v>
      </c>
      <c r="AD15" s="40" t="n">
        <f aca="false">COUNTIF($S$7:$T$54,"=" &amp; AB15 &amp; "_draw")</f>
        <v>2</v>
      </c>
      <c r="AE15" s="40" t="n">
        <f aca="false">COUNTIF($S$7:$T$54,"=" &amp; AB15 &amp; "_lose")</f>
        <v>0</v>
      </c>
      <c r="AF15" s="40" t="n">
        <f aca="false">SUMIF($E$7:$E$54,$AB15,$F$7:$F$54) + SUMIF($H$7:$H$54,$AB15,$G$7:$G$54)</f>
        <v>6</v>
      </c>
      <c r="AG15" s="40" t="n">
        <f aca="false">SUMIF($E$7:$E$54,$AB15,$G$7:$G$54) + SUMIF($H$7:$H$54,$AB15,$F$7:$F$54)</f>
        <v>5</v>
      </c>
      <c r="AH15" s="40" t="n">
        <f aca="false">(AF15-AG15)*100+AK15*10000+AF15</f>
        <v>50106</v>
      </c>
      <c r="AI15" s="40" t="n">
        <f aca="false">AF15-AG15</f>
        <v>1</v>
      </c>
      <c r="AJ15" s="40" t="n">
        <f aca="false">(AI15-AI19)/AI18</f>
        <v>0.75</v>
      </c>
      <c r="AK15" s="40" t="n">
        <f aca="false">AC15*3+AD15</f>
        <v>5</v>
      </c>
      <c r="AL15" s="40" t="n">
        <f aca="false">AP15/AP18*1000+AQ15/AQ18*100+AT15/AT18*10+AR15/AR18</f>
        <v>0</v>
      </c>
      <c r="AM15" s="40" t="n">
        <f aca="false">VLOOKUP(AB15,db_fifarank,2,0)/2000000</f>
        <v>0.0006155</v>
      </c>
      <c r="AN15" s="42" t="n">
        <f aca="false">1000*AK15/AK18+100*AJ15+10*AF15/AF18+1*AL15/AL18+AM15</f>
        <v>1087.0006155</v>
      </c>
      <c r="AO15" s="43" t="str">
        <f aca="false">IF(SUM(AC14:AE17)=12,J16,INDEX(T,73,lang))</f>
        <v>Portugal</v>
      </c>
      <c r="AP15" s="44" t="n">
        <f aca="false">SUMPRODUCT(($S$7:$S$54=AB15&amp;"_win")*($U$7:$U$54))+SUMPRODUCT(($T$7:$T$54=AB15&amp;"_win")*($U$7:$U$54))</f>
        <v>0</v>
      </c>
      <c r="AQ15" s="44" t="n">
        <f aca="false">SUMPRODUCT(($S$7:$S$54=AB15&amp;"_draw")*($U$7:$U$54))+SUMPRODUCT(($T$7:$T$54=AB15&amp;"_draw")*($U$7:$U$54))</f>
        <v>0</v>
      </c>
      <c r="AR15" s="44" t="n">
        <f aca="false">SUMPRODUCT(($E$7:$E$54=AB15)*($U$7:$U$54)*($F$7:$F$54))+SUMPRODUCT(($H$7:$H$54=AB15)*($U$7:$U$54)*($G$7:$G$54))</f>
        <v>0</v>
      </c>
      <c r="AS15" s="44" t="n">
        <f aca="false">SUMPRODUCT(($E$7:$E$54=AB15)*($U$7:$U$54)*($G$7:$G$54))+SUMPRODUCT(($H$7:$H$54=AB15)*($U$7:$U$54)*($F$7:$F$54))</f>
        <v>0</v>
      </c>
      <c r="AT15" s="44" t="n">
        <f aca="false">AR15-AS15</f>
        <v>0</v>
      </c>
      <c r="AY15" s="78"/>
      <c r="AZ15" s="82" t="str">
        <f aca="false">AO27</f>
        <v>Argentina</v>
      </c>
      <c r="BA15" s="83"/>
      <c r="BB15" s="84"/>
      <c r="BC15" s="70"/>
      <c r="BD15" s="70"/>
      <c r="BE15" s="70"/>
      <c r="BF15" s="70"/>
      <c r="BG15" s="70"/>
      <c r="BH15" s="70"/>
      <c r="BI15" s="90"/>
      <c r="BJ15" s="70"/>
      <c r="BK15" s="70" t="str">
        <f aca="false">INDEX(T,24+MONTH(R76),lang) &amp; " " &amp; DAY(R76) &amp; ", " &amp; YEAR(R76) &amp; "   " &amp; TEXT(TIME(HOUR(R76),MINUTE(R76),0),"hh:mm")</f>
        <v>Jul 10, 2018   14:00</v>
      </c>
      <c r="BL15" s="70"/>
      <c r="BM15" s="70"/>
      <c r="BN15" s="86"/>
      <c r="BO15" s="70"/>
      <c r="BP15" s="70"/>
      <c r="BQ15" s="70"/>
      <c r="BR15" s="70"/>
      <c r="BS15" s="70"/>
      <c r="BT15" s="70"/>
    </row>
    <row r="16" customFormat="false" ht="15" hidden="false" customHeight="true" outlineLevel="0" collapsed="false">
      <c r="A16" s="59" t="n">
        <v>10</v>
      </c>
      <c r="B16" s="60" t="str">
        <f aca="false">INDEX(T,18+INT(MOD(R16-1,7)),lang)</f>
        <v>Sun</v>
      </c>
      <c r="C16" s="61" t="str">
        <f aca="false">INDEX(T,24+MONTH(R16),lang) &amp; " " &amp; DAY(R16) &amp; ", " &amp; YEAR(R16)</f>
        <v>Jun 17, 2018</v>
      </c>
      <c r="D16" s="62" t="n">
        <f aca="false">TIME(HOUR(R16),MINUTE(R16),0)</f>
        <v>0.333333333333333</v>
      </c>
      <c r="E16" s="63" t="str">
        <f aca="false">AB34</f>
        <v>Costa Rica</v>
      </c>
      <c r="F16" s="64" t="n">
        <v>0</v>
      </c>
      <c r="G16" s="65" t="n">
        <v>1</v>
      </c>
      <c r="H16" s="66" t="str">
        <f aca="false">AB35</f>
        <v>Serbia</v>
      </c>
      <c r="J16" s="75" t="str">
        <f aca="false">VLOOKUP(2,AA14:AK17,2,0)</f>
        <v>Portugal</v>
      </c>
      <c r="K16" s="76" t="n">
        <f aca="false">L16+M16+N16</f>
        <v>3</v>
      </c>
      <c r="L16" s="76" t="n">
        <f aca="false">VLOOKUP(2,AA14:AK17,3,0)</f>
        <v>1</v>
      </c>
      <c r="M16" s="76" t="n">
        <f aca="false">VLOOKUP(2,AA14:AK17,4,0)</f>
        <v>2</v>
      </c>
      <c r="N16" s="76" t="n">
        <f aca="false">VLOOKUP(2,AA14:AK17,5,0)</f>
        <v>0</v>
      </c>
      <c r="O16" s="76" t="str">
        <f aca="false">VLOOKUP(2,AA14:AK17,6,0) &amp; " - " &amp; VLOOKUP(2,AA14:AK17,7,0)</f>
        <v>5 - 4</v>
      </c>
      <c r="P16" s="77" t="n">
        <f aca="false">L16*3+M16</f>
        <v>5</v>
      </c>
      <c r="R16" s="40" t="n">
        <f aca="false">DATE(2018,6,17)+TIME(1,0,0)+gmt_delta</f>
        <v>43268.3333333333</v>
      </c>
      <c r="S16" s="41" t="str">
        <f aca="false">IF(OR(F16="",G16=""),"",IF(F16&gt;G16,E16&amp;"_win",IF(F16&lt;G16,E16&amp;"_lose",E16&amp;"_draw")))</f>
        <v>Costa Rica_lose</v>
      </c>
      <c r="T16" s="41" t="str">
        <f aca="false">IF(S16="","",IF(F16&lt;G16,H16&amp;"_win",IF(F16&gt;G16,H16&amp;"_lose",H16&amp;"_draw")))</f>
        <v>Serbia_win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-1</v>
      </c>
      <c r="AA16" s="40" t="n">
        <f aca="false">COUNTIF(AN14:AN17,CONCATENATE("&gt;=",AN16))</f>
        <v>4</v>
      </c>
      <c r="AB16" s="42" t="str">
        <f aca="false">VLOOKUP("Morocco",T,lang,0)</f>
        <v>Marruecos</v>
      </c>
      <c r="AC16" s="40" t="n">
        <f aca="false">COUNTIF($S$7:$T$54,"=" &amp; AB16 &amp; "_win")</f>
        <v>0</v>
      </c>
      <c r="AD16" s="40" t="n">
        <f aca="false">COUNTIF($S$7:$T$54,"=" &amp; AB16 &amp; "_draw")</f>
        <v>1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2</v>
      </c>
      <c r="AG16" s="40" t="n">
        <f aca="false">SUMIF($E$7:$E$54,$AB16,$G$7:$G$54) + SUMIF($H$7:$H$54,$AB16,$F$7:$F$54)</f>
        <v>4</v>
      </c>
      <c r="AH16" s="40" t="n">
        <f aca="false">(AF16-AG16)*100+AK16*10000+AF16</f>
        <v>9802</v>
      </c>
      <c r="AI16" s="40" t="n">
        <f aca="false">AF16-AG16</f>
        <v>-2</v>
      </c>
      <c r="AJ16" s="40" t="n">
        <f aca="false">(AI16-AI19)/AI18</f>
        <v>0</v>
      </c>
      <c r="AK16" s="40" t="n">
        <f aca="false">AC16*3+AD16</f>
        <v>1</v>
      </c>
      <c r="AL16" s="40" t="n">
        <f aca="false">AP16/AP18*1000+AQ16/AQ18*100+AT16/AT18*10+AR16/AR18</f>
        <v>0</v>
      </c>
      <c r="AM16" s="40" t="n">
        <f aca="false">VLOOKUP(AB16,db_fifarank,2,0)/2000000</f>
        <v>0.000369</v>
      </c>
      <c r="AN16" s="42" t="n">
        <f aca="false">1000*AK16/AK18+100*AJ16+10*AF16/AF18+1*AL16/AL18+AM16</f>
        <v>204.000369</v>
      </c>
      <c r="AP16" s="44" t="n">
        <f aca="false">SUMPRODUCT(($S$7:$S$54=AB16&amp;"_win")*($U$7:$U$54))+SUMPRODUCT(($T$7:$T$54=AB16&amp;"_win")*($U$7:$U$54))</f>
        <v>0</v>
      </c>
      <c r="AQ16" s="44" t="n">
        <f aca="false">SUMPRODUCT(($S$7:$S$54=AB16&amp;"_draw")*($U$7:$U$54))+SUMPRODUCT(($T$7:$T$54=AB16&amp;"_draw")*($U$7:$U$54))</f>
        <v>0</v>
      </c>
      <c r="AR16" s="44" t="n">
        <f aca="false">SUMPRODUCT(($E$7:$E$54=AB16)*($U$7:$U$54)*($F$7:$F$54))+SUMPRODUCT(($H$7:$H$54=AB16)*($U$7:$U$54)*($G$7:$G$54))</f>
        <v>0</v>
      </c>
      <c r="AS16" s="44" t="n">
        <f aca="false">SUMPRODUCT(($E$7:$E$54=AB16)*($U$7:$U$54)*($G$7:$G$54))+SUMPRODUCT(($H$7:$H$54=AB16)*($U$7:$U$54)*($F$7:$F$54))</f>
        <v>0</v>
      </c>
      <c r="AT16" s="44" t="n">
        <f aca="false">AR16-AS16</f>
        <v>0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90"/>
      <c r="BJ16" s="70"/>
      <c r="BK16" s="78" t="n">
        <v>61</v>
      </c>
      <c r="BL16" s="79" t="str">
        <f aca="false">T69</f>
        <v>W57</v>
      </c>
      <c r="BM16" s="80"/>
      <c r="BN16" s="81"/>
      <c r="BO16" s="70"/>
      <c r="BP16" s="95"/>
      <c r="BQ16" s="70"/>
      <c r="BR16" s="70"/>
      <c r="BS16" s="70"/>
      <c r="BT16" s="70"/>
    </row>
    <row r="17" customFormat="false" ht="15" hidden="false" customHeight="true" outlineLevel="0" collapsed="false">
      <c r="A17" s="59" t="n">
        <v>11</v>
      </c>
      <c r="B17" s="60" t="str">
        <f aca="false">INDEX(T,18+INT(MOD(R17-1,7)),lang)</f>
        <v>Sun</v>
      </c>
      <c r="C17" s="61" t="str">
        <f aca="false">INDEX(T,24+MONTH(R17),lang) &amp; " " &amp; DAY(R17) &amp; ", " &amp; YEAR(R17)</f>
        <v>Jun 17, 2018</v>
      </c>
      <c r="D17" s="62" t="n">
        <f aca="false">TIME(HOUR(R17),MINUTE(R17),0)</f>
        <v>0.458333333333333</v>
      </c>
      <c r="E17" s="63" t="str">
        <f aca="false">AB38</f>
        <v>Alemania</v>
      </c>
      <c r="F17" s="64" t="n">
        <v>0</v>
      </c>
      <c r="G17" s="65" t="n">
        <v>1</v>
      </c>
      <c r="H17" s="66" t="str">
        <f aca="false">AB39</f>
        <v>México</v>
      </c>
      <c r="J17" s="75" t="str">
        <f aca="false">VLOOKUP(3,AA14:AK17,2,0)</f>
        <v>Irán</v>
      </c>
      <c r="K17" s="76" t="n">
        <f aca="false">L17+M17+N17</f>
        <v>3</v>
      </c>
      <c r="L17" s="76" t="n">
        <f aca="false">VLOOKUP(3,AA14:AK17,3,0)</f>
        <v>1</v>
      </c>
      <c r="M17" s="76" t="n">
        <f aca="false">VLOOKUP(3,AA14:AK17,4,0)</f>
        <v>1</v>
      </c>
      <c r="N17" s="76" t="n">
        <f aca="false">VLOOKUP(3,AA14:AK17,5,0)</f>
        <v>1</v>
      </c>
      <c r="O17" s="76" t="str">
        <f aca="false">VLOOKUP(3,AA14:AK17,6,0) &amp; " - " &amp; VLOOKUP(3,AA14:AK17,7,0)</f>
        <v>2 - 2</v>
      </c>
      <c r="P17" s="77" t="n">
        <f aca="false">L17*3+M17</f>
        <v>4</v>
      </c>
      <c r="R17" s="40" t="n">
        <f aca="false">DATE(2018,6,17)+TIME(4,0,0)+gmt_delta</f>
        <v>43268.4583333333</v>
      </c>
      <c r="S17" s="41" t="str">
        <f aca="false">IF(OR(F17="",G17=""),"",IF(F17&gt;G17,E17&amp;"_win",IF(F17&lt;G17,E17&amp;"_lose",E17&amp;"_draw")))</f>
        <v>Alemania_lose</v>
      </c>
      <c r="T17" s="41" t="str">
        <f aca="false">IF(S17="","",IF(F17&lt;G17,H17&amp;"_win",IF(F17&gt;G17,H17&amp;"_lose",H17&amp;"_draw")))</f>
        <v>México_win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1</v>
      </c>
      <c r="Y17" s="40" t="n">
        <f aca="false">IF(OR(F17="",G17=""),"",IF(F17&gt;G17,1,IF(F17&lt;G17,-1,0)))</f>
        <v>-1</v>
      </c>
      <c r="AA17" s="40" t="n">
        <f aca="false">COUNTIF(AN14:AN17,CONCATENATE("&gt;=",AN17))</f>
        <v>3</v>
      </c>
      <c r="AB17" s="42" t="str">
        <f aca="false">VLOOKUP("Iran",T,lang,0)</f>
        <v>Irán</v>
      </c>
      <c r="AC17" s="40" t="n">
        <f aca="false">COUNTIF($S$7:$T$54,"=" &amp; AB17 &amp; "_win")</f>
        <v>1</v>
      </c>
      <c r="AD17" s="40" t="n">
        <f aca="false">COUNTIF($S$7:$T$54,"=" &amp; AB17 &amp; "_draw")</f>
        <v>1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2</v>
      </c>
      <c r="AG17" s="40" t="n">
        <f aca="false">SUMIF($E$7:$E$54,$AB17,$G$7:$G$54) + SUMIF($H$7:$H$54,$AB17,$F$7:$F$54)</f>
        <v>2</v>
      </c>
      <c r="AH17" s="40" t="n">
        <f aca="false">(AF17-AG17)*100+AK17*10000+AF17</f>
        <v>40002</v>
      </c>
      <c r="AI17" s="40" t="n">
        <f aca="false">AF17-AG17</f>
        <v>0</v>
      </c>
      <c r="AJ17" s="40" t="n">
        <f aca="false">(AI17-AI19)/AI18</f>
        <v>0.5</v>
      </c>
      <c r="AK17" s="40" t="n">
        <f aca="false">AC17*3+AD17</f>
        <v>4</v>
      </c>
      <c r="AL17" s="40" t="n">
        <f aca="false">AP17/AP18*1000+AQ17/AQ18*100+AT17/AT18*10+AR17/AR18</f>
        <v>0</v>
      </c>
      <c r="AM17" s="40" t="n">
        <f aca="false">VLOOKUP(AB17,db_fifarank,2,0)/2000000</f>
        <v>0.000399</v>
      </c>
      <c r="AN17" s="42" t="n">
        <f aca="false">1000*AK17/AK18+100*AJ17+10*AF17/AF18+1*AL17/AL18+AM17</f>
        <v>854.000399</v>
      </c>
      <c r="AP17" s="44" t="n">
        <f aca="false">SUMPRODUCT(($S$7:$S$54=AB17&amp;"_win")*($U$7:$U$54))+SUMPRODUCT(($T$7:$T$54=AB17&amp;"_win")*($U$7:$U$54))</f>
        <v>0</v>
      </c>
      <c r="AQ17" s="44" t="n">
        <f aca="false">SUMPRODUCT(($S$7:$S$54=AB17&amp;"_draw")*($U$7:$U$54))+SUMPRODUCT(($T$7:$T$54=AB17&amp;"_draw")*($U$7:$U$54))</f>
        <v>0</v>
      </c>
      <c r="AR17" s="44" t="n">
        <f aca="false">SUMPRODUCT(($E$7:$E$54=AB17)*($U$7:$U$54)*($F$7:$F$54))+SUMPRODUCT(($H$7:$H$54=AB17)*($U$7:$U$54)*($G$7:$G$54))</f>
        <v>0</v>
      </c>
      <c r="AS17" s="44" t="n">
        <f aca="false">SUMPRODUCT(($E$7:$E$54=AB17)*($U$7:$U$54)*($G$7:$G$54))+SUMPRODUCT(($H$7:$H$54=AB17)*($U$7:$U$54)*($F$7:$F$54))</f>
        <v>0</v>
      </c>
      <c r="AT17" s="44" t="n">
        <f aca="false">AR17-AS17</f>
        <v>0</v>
      </c>
      <c r="AY17" s="70" t="str">
        <f aca="false">INDEX(T,24+MONTH(R62),lang) &amp; " " &amp; DAY(R62) &amp; ", " &amp; YEAR(R62) &amp; "   " &amp; TEXT(TIME(HOUR(R62),MINUTE(R62),0),"hh:mm")</f>
        <v>Jul 2, 2018   10:00</v>
      </c>
      <c r="AZ17" s="70"/>
      <c r="BA17" s="70"/>
      <c r="BB17" s="86"/>
      <c r="BC17" s="70"/>
      <c r="BD17" s="70"/>
      <c r="BE17" s="70"/>
      <c r="BF17" s="70"/>
      <c r="BG17" s="70"/>
      <c r="BH17" s="70"/>
      <c r="BI17" s="90"/>
      <c r="BJ17" s="93"/>
      <c r="BK17" s="78"/>
      <c r="BL17" s="82" t="str">
        <f aca="false">T70</f>
        <v>W58</v>
      </c>
      <c r="BM17" s="83"/>
      <c r="BN17" s="84"/>
      <c r="BO17" s="85"/>
      <c r="BP17" s="96"/>
      <c r="BQ17" s="70"/>
      <c r="BR17" s="70"/>
      <c r="BS17" s="70"/>
      <c r="BT17" s="70"/>
    </row>
    <row r="18" customFormat="false" ht="15" hidden="false" customHeight="true" outlineLevel="0" collapsed="false">
      <c r="A18" s="59" t="n">
        <v>12</v>
      </c>
      <c r="B18" s="60" t="str">
        <f aca="false">INDEX(T,18+INT(MOD(R18-1,7)),lang)</f>
        <v>Mon</v>
      </c>
      <c r="C18" s="61" t="str">
        <f aca="false">INDEX(T,24+MONTH(R18),lang) &amp; " " &amp; DAY(R18) &amp; ", " &amp; YEAR(R18)</f>
        <v>Jun 18, 2018</v>
      </c>
      <c r="D18" s="62" t="n">
        <f aca="false">TIME(HOUR(R18),MINUTE(R18),0)</f>
        <v>0.333333333333333</v>
      </c>
      <c r="E18" s="63" t="str">
        <f aca="false">AB40</f>
        <v>Suecia</v>
      </c>
      <c r="F18" s="64" t="n">
        <v>1</v>
      </c>
      <c r="G18" s="65" t="n">
        <v>0</v>
      </c>
      <c r="H18" s="66" t="str">
        <f aca="false">AB41</f>
        <v>República de Corea</v>
      </c>
      <c r="J18" s="87" t="str">
        <f aca="false">VLOOKUP(4,AA14:AK17,2,0)</f>
        <v>Marruecos</v>
      </c>
      <c r="K18" s="88" t="n">
        <f aca="false">L18+M18+N18</f>
        <v>3</v>
      </c>
      <c r="L18" s="88" t="n">
        <f aca="false">VLOOKUP(4,AA14:AK17,3,0)</f>
        <v>0</v>
      </c>
      <c r="M18" s="88" t="n">
        <f aca="false">VLOOKUP(4,AA14:AK17,4,0)</f>
        <v>1</v>
      </c>
      <c r="N18" s="88" t="n">
        <f aca="false">VLOOKUP(4,AA14:AK17,5,0)</f>
        <v>2</v>
      </c>
      <c r="O18" s="88" t="str">
        <f aca="false">VLOOKUP(4,AA14:AK17,6,0) &amp; " - " &amp; VLOOKUP(4,AA14:AK17,7,0)</f>
        <v>2 - 4</v>
      </c>
      <c r="P18" s="89" t="n">
        <f aca="false">L18*3+M18</f>
        <v>1</v>
      </c>
      <c r="R18" s="40" t="n">
        <f aca="false">DATE(2018,6,18)+TIME(1,0,0)+gmt_delta</f>
        <v>43269.3333333333</v>
      </c>
      <c r="S18" s="41" t="str">
        <f aca="false">IF(OR(F18="",G18=""),"",IF(F18&gt;G18,E18&amp;"_win",IF(F18&lt;G18,E18&amp;"_lose",E18&amp;"_draw")))</f>
        <v>Suecia_win</v>
      </c>
      <c r="T18" s="41" t="str">
        <f aca="false">IF(S18="","",IF(F18&lt;G18,H18&amp;"_win",IF(F18&gt;G18,H18&amp;"_lose",H18&amp;"_draw")))</f>
        <v>República de Corea_lose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2</v>
      </c>
      <c r="AD18" s="40" t="n">
        <f aca="false">MAX(AD14:AD17)-MIN(AD14:AD17)+1</f>
        <v>2</v>
      </c>
      <c r="AE18" s="40" t="n">
        <f aca="false">MAX(AE14:AE17)-MIN(AE14:AE17)+1</f>
        <v>3</v>
      </c>
      <c r="AF18" s="40" t="n">
        <f aca="false">MAX(AF14:AF17)-MIN(AF14:AF17)+1</f>
        <v>5</v>
      </c>
      <c r="AG18" s="40" t="n">
        <f aca="false">MAX(AG14:AG17)-MIN(AG14:AG17)+1</f>
        <v>4</v>
      </c>
      <c r="AH18" s="40" t="n">
        <f aca="false">MAX(AH14:AH17)-AH19+1</f>
        <v>40305</v>
      </c>
      <c r="AI18" s="40" t="n">
        <f aca="false">MAX(AI14:AI17)-AI19+1</f>
        <v>4</v>
      </c>
      <c r="AK18" s="40" t="n">
        <f aca="false">MAX(AK14:AK17)-MIN(AK14:AK17)+1</f>
        <v>5</v>
      </c>
      <c r="AL18" s="40" t="n">
        <f aca="false">MAX(AL14:AL17)-MIN(AL14:AL17)+1</f>
        <v>1</v>
      </c>
      <c r="AP18" s="40" t="n">
        <f aca="false">MAX(AP14:AP17)-MIN(AP14:AP17)+1</f>
        <v>1</v>
      </c>
      <c r="AQ18" s="40" t="n">
        <f aca="false">MAX(AQ14:AQ17)-MIN(AQ14:AQ17)+1</f>
        <v>1</v>
      </c>
      <c r="AR18" s="40" t="n">
        <f aca="false">MAX(AR14:AR17)-MIN(AR14:AR17)+1</f>
        <v>1</v>
      </c>
      <c r="AS18" s="40" t="n">
        <f aca="false">MAX(AS14:AS17)-MIN(AS14:AS17)+1</f>
        <v>1</v>
      </c>
      <c r="AT18" s="40" t="n">
        <f aca="false">MAX(AT14:AT17)-MIN(AT14:AT17)+1</f>
        <v>1</v>
      </c>
      <c r="AY18" s="78" t="n">
        <v>53</v>
      </c>
      <c r="AZ18" s="79" t="str">
        <f aca="false">AO32</f>
        <v>1E</v>
      </c>
      <c r="BA18" s="80"/>
      <c r="BB18" s="81"/>
      <c r="BC18" s="70"/>
      <c r="BD18" s="70"/>
      <c r="BE18" s="70"/>
      <c r="BF18" s="70"/>
      <c r="BG18" s="70"/>
      <c r="BH18" s="70"/>
      <c r="BI18" s="90"/>
      <c r="BJ18" s="70"/>
      <c r="BK18" s="70"/>
      <c r="BL18" s="70"/>
      <c r="BM18" s="70"/>
      <c r="BN18" s="70"/>
      <c r="BO18" s="90"/>
      <c r="BP18" s="70"/>
      <c r="BQ18" s="70"/>
      <c r="BR18" s="70"/>
      <c r="BS18" s="70"/>
      <c r="BT18" s="70"/>
    </row>
    <row r="19" customFormat="false" ht="15" hidden="false" customHeight="true" outlineLevel="0" collapsed="false">
      <c r="A19" s="59" t="n">
        <v>13</v>
      </c>
      <c r="B19" s="60" t="str">
        <f aca="false">INDEX(T,18+INT(MOD(R19-1,7)),lang)</f>
        <v>Mon</v>
      </c>
      <c r="C19" s="61" t="str">
        <f aca="false">INDEX(T,24+MONTH(R19),lang) &amp; " " &amp; DAY(R19) &amp; ", " &amp; YEAR(R19)</f>
        <v>Jun 18, 2018</v>
      </c>
      <c r="D19" s="62" t="n">
        <f aca="false">TIME(HOUR(R19),MINUTE(R19),0)</f>
        <v>0.458333333333333</v>
      </c>
      <c r="E19" s="63" t="str">
        <f aca="false">AB44</f>
        <v>Bélgica</v>
      </c>
      <c r="F19" s="64" t="n">
        <v>3</v>
      </c>
      <c r="G19" s="65" t="n">
        <v>0</v>
      </c>
      <c r="H19" s="66" t="str">
        <f aca="false">AB45</f>
        <v>Panamá</v>
      </c>
      <c r="J19" s="91"/>
      <c r="K19" s="92"/>
      <c r="L19" s="92"/>
      <c r="M19" s="92"/>
      <c r="N19" s="92"/>
      <c r="O19" s="92"/>
      <c r="P19" s="92"/>
      <c r="R19" s="40" t="n">
        <f aca="false">DATE(2018,6,18)+TIME(4,0,0)+gmt_delta</f>
        <v>43269.4583333333</v>
      </c>
      <c r="S19" s="41" t="str">
        <f aca="false">IF(OR(F19="",G19=""),"",IF(F19&gt;G19,E19&amp;"_win",IF(F19&lt;G19,E19&amp;"_lose",E19&amp;"_draw")))</f>
        <v>Bélgica_win</v>
      </c>
      <c r="T19" s="41" t="str">
        <f aca="false">IF(S19="","",IF(F19&lt;G19,H19&amp;"_win",IF(F19&gt;G19,H19&amp;"_lose",H19&amp;"_draw")))</f>
        <v>Panamá_lose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9802</v>
      </c>
      <c r="AI19" s="40" t="n">
        <f aca="false">MIN(AI14:AI17)</f>
        <v>-2</v>
      </c>
      <c r="AY19" s="78"/>
      <c r="AZ19" s="82" t="str">
        <f aca="false">AO39</f>
        <v>2F</v>
      </c>
      <c r="BA19" s="83"/>
      <c r="BB19" s="84"/>
      <c r="BC19" s="85"/>
      <c r="BD19" s="70"/>
      <c r="BE19" s="70" t="str">
        <f aca="false">INDEX(T,24+MONTH(R70),lang) &amp; " " &amp; DAY(R70) &amp; ", " &amp; YEAR(R70) &amp; "   " &amp; TEXT(TIME(HOUR(R70),MINUTE(R70),0),"hh:mm")</f>
        <v>Jul 6, 2018   14:00</v>
      </c>
      <c r="BF19" s="70"/>
      <c r="BG19" s="70"/>
      <c r="BH19" s="86"/>
      <c r="BI19" s="90"/>
      <c r="BJ19" s="70"/>
      <c r="BK19" s="70"/>
      <c r="BL19" s="70"/>
      <c r="BM19" s="70"/>
      <c r="BN19" s="70"/>
      <c r="BO19" s="90"/>
      <c r="BP19" s="70"/>
      <c r="BQ19" s="70"/>
      <c r="BR19" s="70"/>
      <c r="BS19" s="70"/>
      <c r="BT19" s="70"/>
    </row>
    <row r="20" customFormat="false" ht="15" hidden="false" customHeight="true" outlineLevel="0" collapsed="false">
      <c r="A20" s="59" t="n">
        <v>14</v>
      </c>
      <c r="B20" s="60" t="str">
        <f aca="false">INDEX(T,18+INT(MOD(R20-1,7)),lang)</f>
        <v>Mon</v>
      </c>
      <c r="C20" s="61" t="str">
        <f aca="false">INDEX(T,24+MONTH(R20),lang) &amp; " " &amp; DAY(R20) &amp; ", " &amp; YEAR(R20)</f>
        <v>Jun 18, 2018</v>
      </c>
      <c r="D20" s="62" t="n">
        <f aca="false">TIME(HOUR(R20),MINUTE(R20),0)</f>
        <v>0.583333333333333</v>
      </c>
      <c r="E20" s="63" t="str">
        <f aca="false">AB46</f>
        <v>Túnez</v>
      </c>
      <c r="F20" s="64" t="n">
        <v>1</v>
      </c>
      <c r="G20" s="65" t="n">
        <v>2</v>
      </c>
      <c r="H20" s="66" t="str">
        <f aca="false">AB47</f>
        <v>Inglaterra</v>
      </c>
      <c r="J20" s="67" t="str">
        <f aca="false">INDEX(T,9,lang) &amp; " " &amp; "C"</f>
        <v>Grupo C</v>
      </c>
      <c r="K20" s="68" t="str">
        <f aca="false">INDEX(T,10,lang)</f>
        <v>J</v>
      </c>
      <c r="L20" s="68" t="str">
        <f aca="false">INDEX(T,11,lang)</f>
        <v>G</v>
      </c>
      <c r="M20" s="68" t="str">
        <f aca="false">INDEX(T,12,lang)</f>
        <v>DRAW</v>
      </c>
      <c r="N20" s="68" t="str">
        <f aca="false">INDEX(T,13,lang)</f>
        <v>P</v>
      </c>
      <c r="O20" s="68" t="str">
        <f aca="false">INDEX(T,14,lang)</f>
        <v>GF - GC</v>
      </c>
      <c r="P20" s="69" t="str">
        <f aca="false">INDEX(T,15,lang)</f>
        <v>PTS</v>
      </c>
      <c r="R20" s="40" t="n">
        <f aca="false">DATE(2018,6,18)+TIME(7,0,0)+gmt_delta</f>
        <v>43269.5833333333</v>
      </c>
      <c r="S20" s="41" t="str">
        <f aca="false">IF(OR(F20="",G20=""),"",IF(F20&gt;G20,E20&amp;"_win",IF(F20&lt;G20,E20&amp;"_lose",E20&amp;"_draw")))</f>
        <v>Túnez_lose</v>
      </c>
      <c r="T20" s="41" t="str">
        <f aca="false">IF(S20="","",IF(F20&lt;G20,H20&amp;"_win",IF(F20&gt;G20,H20&amp;"_lose",H20&amp;"_draw")))</f>
        <v>Inglaterra_win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-1</v>
      </c>
      <c r="AA20" s="40" t="n">
        <f aca="false">COUNTIF(AN20:AN23,CONCATENATE("&gt;=",AN20))</f>
        <v>1</v>
      </c>
      <c r="AB20" s="42" t="str">
        <f aca="false">VLOOKUP("France",T,lang,0)</f>
        <v>Francia</v>
      </c>
      <c r="AC20" s="40" t="n">
        <f aca="false">COUNTIF($S$7:$T$54,"=" &amp; AB20 &amp; "_win")</f>
        <v>2</v>
      </c>
      <c r="AD20" s="40" t="n">
        <f aca="false">COUNTIF($S$7:$T$54,"=" &amp; AB20 &amp; "_draw")</f>
        <v>1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3</v>
      </c>
      <c r="AG20" s="40" t="n">
        <f aca="false">SUMIF($E$7:$E$54,$AB20,$G$7:$G$54) + SUMIF($H$7:$H$54,$AB20,$F$7:$F$54)</f>
        <v>1</v>
      </c>
      <c r="AH20" s="40" t="n">
        <f aca="false">(AF20-AG20)*100+AK20*10000+AF20</f>
        <v>70203</v>
      </c>
      <c r="AI20" s="40" t="n">
        <f aca="false">AF20-AG20</f>
        <v>2</v>
      </c>
      <c r="AJ20" s="40" t="n">
        <f aca="false">(AI20-AI25)/AI24</f>
        <v>0.833333333333333</v>
      </c>
      <c r="AK20" s="40" t="n">
        <f aca="false">AC20*3+AD20</f>
        <v>7</v>
      </c>
      <c r="AL20" s="40" t="n">
        <f aca="false">AP20/AP24*1000+AQ20/AQ24*100+AT20/AT24*10+AR20/AR24</f>
        <v>0</v>
      </c>
      <c r="AM20" s="40" t="n">
        <f aca="false">VLOOKUP(AB20,db_fifarank,2,0)/2000000</f>
        <v>0.0005915</v>
      </c>
      <c r="AN20" s="42" t="n">
        <f aca="false">1000*AK20/AK24+100*AJ20+10*AF20/AF24+1*AL20/AL24+AM20</f>
        <v>1098.33392483333</v>
      </c>
      <c r="AO20" s="43" t="str">
        <f aca="false">IF(SUM(AC20:AE23)=12,J21,INDEX(T,74,lang))</f>
        <v>Francia</v>
      </c>
      <c r="AP20" s="44" t="n">
        <f aca="false">SUMPRODUCT(($S$7:$S$54=AB20&amp;"_win")*($U$7:$U$54))+SUMPRODUCT(($T$7:$T$54=AB20&amp;"_win")*($U$7:$U$54))</f>
        <v>0</v>
      </c>
      <c r="AQ20" s="44" t="n">
        <f aca="false">SUMPRODUCT(($S$7:$S$54=AB20&amp;"_draw")*($U$7:$U$54))+SUMPRODUCT(($T$7:$T$54=AB20&amp;"_draw")*($U$7:$U$54))</f>
        <v>0</v>
      </c>
      <c r="AR20" s="44" t="n">
        <f aca="false">SUMPRODUCT(($E$7:$E$54=AB20)*($U$7:$U$54)*($F$7:$F$54))+SUMPRODUCT(($H$7:$H$54=AB20)*($U$7:$U$54)*($G$7:$G$54))</f>
        <v>0</v>
      </c>
      <c r="AS20" s="44" t="n">
        <f aca="false">SUMPRODUCT(($E$7:$E$54=AB20)*($U$7:$U$54)*($G$7:$G$54))+SUMPRODUCT(($H$7:$H$54=AB20)*($U$7:$U$54)*($F$7:$F$54))</f>
        <v>0</v>
      </c>
      <c r="AT20" s="44" t="n">
        <f aca="false">AR20-AS20</f>
        <v>0</v>
      </c>
      <c r="AY20" s="70"/>
      <c r="AZ20" s="70"/>
      <c r="BA20" s="70"/>
      <c r="BB20" s="70"/>
      <c r="BC20" s="90"/>
      <c r="BD20" s="70"/>
      <c r="BE20" s="78" t="n">
        <v>58</v>
      </c>
      <c r="BF20" s="79" t="str">
        <f aca="false">T62</f>
        <v>W53</v>
      </c>
      <c r="BG20" s="80"/>
      <c r="BH20" s="81"/>
      <c r="BI20" s="94"/>
      <c r="BJ20" s="70"/>
      <c r="BK20" s="70"/>
      <c r="BL20" s="70"/>
      <c r="BM20" s="70"/>
      <c r="BN20" s="70"/>
      <c r="BO20" s="90"/>
      <c r="BP20" s="70"/>
      <c r="BQ20" s="70"/>
      <c r="BR20" s="70"/>
      <c r="BS20" s="70"/>
      <c r="BT20" s="70"/>
    </row>
    <row r="21" customFormat="false" ht="15" hidden="false" customHeight="true" outlineLevel="0" collapsed="false">
      <c r="A21" s="59" t="n">
        <v>15</v>
      </c>
      <c r="B21" s="60" t="str">
        <f aca="false">INDEX(T,18+INT(MOD(R21-1,7)),lang)</f>
        <v>Tue</v>
      </c>
      <c r="C21" s="61" t="str">
        <f aca="false">INDEX(T,24+MONTH(R21),lang) &amp; " " &amp; DAY(R21) &amp; ", " &amp; YEAR(R21)</f>
        <v>Jun 19, 2018</v>
      </c>
      <c r="D21" s="62" t="n">
        <f aca="false">TIME(HOUR(R21),MINUTE(R21),0)</f>
        <v>0.458333333333333</v>
      </c>
      <c r="E21" s="63" t="str">
        <f aca="false">AB50</f>
        <v>Polonia</v>
      </c>
      <c r="F21" s="64" t="n">
        <v>1</v>
      </c>
      <c r="G21" s="65" t="n">
        <v>2</v>
      </c>
      <c r="H21" s="66" t="str">
        <f aca="false">AB51</f>
        <v>Senegal</v>
      </c>
      <c r="J21" s="71" t="str">
        <f aca="false">VLOOKUP(1,AA20:AK23,2,0)</f>
        <v>Francia</v>
      </c>
      <c r="K21" s="72" t="n">
        <f aca="false">L21+M21+N21</f>
        <v>3</v>
      </c>
      <c r="L21" s="72" t="n">
        <f aca="false">VLOOKUP(1,AA20:AK23,3,0)</f>
        <v>2</v>
      </c>
      <c r="M21" s="72" t="n">
        <f aca="false">VLOOKUP(1,AA20:AK23,4,0)</f>
        <v>1</v>
      </c>
      <c r="N21" s="72" t="n">
        <f aca="false">VLOOKUP(1,AA20:AK23,5,0)</f>
        <v>0</v>
      </c>
      <c r="O21" s="72" t="str">
        <f aca="false">VLOOKUP(1,AA20:AK23,6,0) &amp; " - " &amp; VLOOKUP(1,AA20:AK23,7,0)</f>
        <v>3 - 1</v>
      </c>
      <c r="P21" s="73" t="n">
        <f aca="false">L21*3+M21</f>
        <v>7</v>
      </c>
      <c r="R21" s="40" t="n">
        <f aca="false">DATE(2018,6,19)+TIME(4,0,0)+gmt_delta</f>
        <v>43270.4583333333</v>
      </c>
      <c r="S21" s="41" t="str">
        <f aca="false">IF(OR(F21="",G21=""),"",IF(F21&gt;G21,E21&amp;"_win",IF(F21&lt;G21,E21&amp;"_lose",E21&amp;"_draw")))</f>
        <v>Polonia_lose</v>
      </c>
      <c r="T21" s="41" t="str">
        <f aca="false">IF(S21="","",IF(F21&lt;G21,H21&amp;"_win",IF(F21&gt;G21,H21&amp;"_lose",H21&amp;"_draw")))</f>
        <v>Senegal_win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-1</v>
      </c>
      <c r="AA21" s="40" t="n">
        <f aca="false">COUNTIF(AN20:AN23,CONCATENATE("&gt;=",AN21))</f>
        <v>4</v>
      </c>
      <c r="AB21" s="42" t="str">
        <f aca="false">VLOOKUP("Australia",T,lang,0)</f>
        <v>Australia</v>
      </c>
      <c r="AC21" s="40" t="n">
        <f aca="false">COUNTIF($S$7:$T$54,"=" &amp; AB21 &amp; "_win")</f>
        <v>0</v>
      </c>
      <c r="AD21" s="40" t="n">
        <f aca="false">COUNTIF($S$7:$T$54,"=" &amp; AB21 &amp; "_draw")</f>
        <v>1</v>
      </c>
      <c r="AE21" s="40" t="n">
        <f aca="false">COUNTIF($S$7:$T$54,"=" &amp; AB21 &amp; "_lose")</f>
        <v>2</v>
      </c>
      <c r="AF21" s="40" t="n">
        <f aca="false">SUMIF($E$7:$E$54,$AB21,$F$7:$F$54) + SUMIF($H$7:$H$54,$AB21,$G$7:$G$54)</f>
        <v>2</v>
      </c>
      <c r="AG21" s="40" t="n">
        <f aca="false">SUMIF($E$7:$E$54,$AB21,$G$7:$G$54) + SUMIF($H$7:$H$54,$AB21,$F$7:$F$54)</f>
        <v>5</v>
      </c>
      <c r="AH21" s="40" t="n">
        <f aca="false">(AF21-AG21)*100+AK21*10000+AF21</f>
        <v>9702</v>
      </c>
      <c r="AI21" s="40" t="n">
        <f aca="false">AF21-AG21</f>
        <v>-3</v>
      </c>
      <c r="AJ21" s="40" t="n">
        <f aca="false">(AI21-AI25)/AI24</f>
        <v>0</v>
      </c>
      <c r="AK21" s="40" t="n">
        <f aca="false">AC21*3+AD21</f>
        <v>1</v>
      </c>
      <c r="AL21" s="40" t="n">
        <f aca="false">AP21/AP24*1000+AQ21/AQ24*100+AT21/AT24*10+AR21/AR24</f>
        <v>0</v>
      </c>
      <c r="AM21" s="40" t="n">
        <f aca="false">VLOOKUP(AB21,db_fifarank,2,0)/2000000</f>
        <v>0.0003735</v>
      </c>
      <c r="AN21" s="42" t="n">
        <f aca="false">1000*AK21/AK24+100*AJ21+10*AF21/AF24+1*AL21/AL24+AM21</f>
        <v>152.857516357143</v>
      </c>
      <c r="AO21" s="43" t="str">
        <f aca="false">IF(SUM(AC20:AE23)=12,J22,INDEX(T,75,lang))</f>
        <v>Dinamarca</v>
      </c>
      <c r="AP21" s="44" t="n">
        <f aca="false">SUMPRODUCT(($S$7:$S$54=AB21&amp;"_win")*($U$7:$U$54))+SUMPRODUCT(($T$7:$T$54=AB21&amp;"_win")*($U$7:$U$54))</f>
        <v>0</v>
      </c>
      <c r="AQ21" s="44" t="n">
        <f aca="false">SUMPRODUCT(($S$7:$S$54=AB21&amp;"_draw")*($U$7:$U$54))+SUMPRODUCT(($T$7:$T$54=AB21&amp;"_draw")*($U$7:$U$54))</f>
        <v>0</v>
      </c>
      <c r="AR21" s="44" t="n">
        <f aca="false">SUMPRODUCT(($E$7:$E$54=AB21)*($U$7:$U$54)*($F$7:$F$54))+SUMPRODUCT(($H$7:$H$54=AB21)*($U$7:$U$54)*($G$7:$G$54))</f>
        <v>0</v>
      </c>
      <c r="AS21" s="44" t="n">
        <f aca="false">SUMPRODUCT(($E$7:$E$54=AB21)*($U$7:$U$54)*($G$7:$G$54))+SUMPRODUCT(($H$7:$H$54=AB21)*($U$7:$U$54)*($F$7:$F$54))</f>
        <v>0</v>
      </c>
      <c r="AT21" s="44" t="n">
        <f aca="false">AR21-AS21</f>
        <v>0</v>
      </c>
      <c r="AY21" s="70" t="str">
        <f aca="false">INDEX(T,24+MONTH(R63),lang) &amp; " " &amp; DAY(R63) &amp; ", " &amp; YEAR(R63) &amp; "   " &amp; TEXT(TIME(HOUR(R63),MINUTE(R63),0),"hh:mm")</f>
        <v>Jul 2, 2018   14:00</v>
      </c>
      <c r="AZ21" s="70"/>
      <c r="BA21" s="70"/>
      <c r="BB21" s="86"/>
      <c r="BC21" s="90"/>
      <c r="BD21" s="93"/>
      <c r="BE21" s="78"/>
      <c r="BF21" s="82" t="str">
        <f aca="false">T63</f>
        <v>W54</v>
      </c>
      <c r="BG21" s="83"/>
      <c r="BH21" s="84"/>
      <c r="BI21" s="70"/>
      <c r="BJ21" s="70"/>
      <c r="BK21" s="70"/>
      <c r="BL21" s="70"/>
      <c r="BM21" s="70"/>
      <c r="BN21" s="70"/>
      <c r="BO21" s="90"/>
      <c r="BP21" s="70"/>
      <c r="BQ21" s="70"/>
      <c r="BR21" s="70"/>
      <c r="BS21" s="70"/>
      <c r="BT21" s="70"/>
    </row>
    <row r="22" customFormat="false" ht="15" hidden="false" customHeight="true" outlineLevel="0" collapsed="false">
      <c r="A22" s="59" t="n">
        <v>16</v>
      </c>
      <c r="B22" s="60" t="str">
        <f aca="false">INDEX(T,18+INT(MOD(R22-1,7)),lang)</f>
        <v>Tue</v>
      </c>
      <c r="C22" s="61" t="str">
        <f aca="false">INDEX(T,24+MONTH(R22),lang) &amp; " " &amp; DAY(R22) &amp; ", " &amp; YEAR(R22)</f>
        <v>Jun 19, 2018</v>
      </c>
      <c r="D22" s="62" t="n">
        <f aca="false">TIME(HOUR(R22),MINUTE(R22),0)</f>
        <v>0.333333333333333</v>
      </c>
      <c r="E22" s="63" t="str">
        <f aca="false">AB52</f>
        <v>Colombia</v>
      </c>
      <c r="F22" s="64" t="n">
        <v>1</v>
      </c>
      <c r="G22" s="65" t="n">
        <v>2</v>
      </c>
      <c r="H22" s="66" t="str">
        <f aca="false">AB53</f>
        <v>Japón</v>
      </c>
      <c r="J22" s="75" t="str">
        <f aca="false">VLOOKUP(2,AA20:AK23,2,0)</f>
        <v>Dinamarca</v>
      </c>
      <c r="K22" s="76" t="n">
        <f aca="false">L22+M22+N22</f>
        <v>3</v>
      </c>
      <c r="L22" s="76" t="n">
        <f aca="false">VLOOKUP(2,AA20:AK23,3,0)</f>
        <v>1</v>
      </c>
      <c r="M22" s="76" t="n">
        <f aca="false">VLOOKUP(2,AA20:AK23,4,0)</f>
        <v>2</v>
      </c>
      <c r="N22" s="76" t="n">
        <f aca="false">VLOOKUP(2,AA20:AK23,5,0)</f>
        <v>0</v>
      </c>
      <c r="O22" s="76" t="str">
        <f aca="false">VLOOKUP(2,AA20:AK23,6,0) &amp; " - " &amp; VLOOKUP(2,AA20:AK23,7,0)</f>
        <v>2 - 1</v>
      </c>
      <c r="P22" s="77" t="n">
        <f aca="false">L22*3+M22</f>
        <v>5</v>
      </c>
      <c r="R22" s="40" t="n">
        <f aca="false">DATE(2018,6,19)+TIME(1,0,0)+gmt_delta</f>
        <v>43270.3333333333</v>
      </c>
      <c r="S22" s="41" t="str">
        <f aca="false">IF(OR(F22="",G22=""),"",IF(F22&gt;G22,E22&amp;"_win",IF(F22&lt;G22,E22&amp;"_lose",E22&amp;"_draw")))</f>
        <v>Colombia_lose</v>
      </c>
      <c r="T22" s="41" t="str">
        <f aca="false">IF(S22="","",IF(F22&lt;G22,H22&amp;"_win",IF(F22&gt;G22,H22&amp;"_lose",H22&amp;"_draw")))</f>
        <v>Japón_win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-1</v>
      </c>
      <c r="AA22" s="40" t="n">
        <f aca="false">COUNTIF(AN20:AN23,CONCATENATE("&gt;=",AN22))</f>
        <v>3</v>
      </c>
      <c r="AB22" s="42" t="str">
        <f aca="false">VLOOKUP("Peru",T,lang,0)</f>
        <v>Perú</v>
      </c>
      <c r="AC22" s="40" t="n">
        <f aca="false">COUNTIF($S$7:$T$54,"=" &amp; AB22 &amp; "_win")</f>
        <v>1</v>
      </c>
      <c r="AD22" s="40" t="n">
        <f aca="false">COUNTIF($S$7:$T$54,"=" &amp; AB22 &amp; "_draw")</f>
        <v>0</v>
      </c>
      <c r="AE22" s="40" t="n">
        <f aca="false">COUNTIF($S$7:$T$54,"=" &amp; AB22 &amp; "_lose")</f>
        <v>2</v>
      </c>
      <c r="AF22" s="40" t="n">
        <f aca="false">SUMIF($E$7:$E$54,$AB22,$F$7:$F$54) + SUMIF($H$7:$H$54,$AB22,$G$7:$G$54)</f>
        <v>2</v>
      </c>
      <c r="AG22" s="40" t="n">
        <f aca="false">SUMIF($E$7:$E$54,$AB22,$G$7:$G$54) + SUMIF($H$7:$H$54,$AB22,$F$7:$F$54)</f>
        <v>2</v>
      </c>
      <c r="AH22" s="40" t="n">
        <f aca="false">(AF22-AG22)*100+AK22*10000+AF22</f>
        <v>30002</v>
      </c>
      <c r="AI22" s="40" t="n">
        <f aca="false">AF22-AG22</f>
        <v>0</v>
      </c>
      <c r="AJ22" s="40" t="n">
        <f aca="false">(AI22-AI25)/AI24</f>
        <v>0.5</v>
      </c>
      <c r="AK22" s="40" t="n">
        <f aca="false">AC22*3+AD22</f>
        <v>3</v>
      </c>
      <c r="AL22" s="40" t="n">
        <f aca="false">AP22/AP24*1000+AQ22/AQ24*100+AT22/AT24*10+AR22/AR24</f>
        <v>0</v>
      </c>
      <c r="AM22" s="40" t="n">
        <f aca="false">VLOOKUP(AB22,db_fifarank,2,0)/2000000</f>
        <v>0.000564</v>
      </c>
      <c r="AN22" s="42" t="n">
        <f aca="false">1000*AK22/AK24+100*AJ22+10*AF22/AF24+1*AL22/AL24+AM22</f>
        <v>488.571992571429</v>
      </c>
      <c r="AP22" s="44" t="n">
        <f aca="false">SUMPRODUCT(($S$7:$S$54=AB22&amp;"_win")*($U$7:$U$54))+SUMPRODUCT(($T$7:$T$54=AB22&amp;"_win")*($U$7:$U$54))</f>
        <v>0</v>
      </c>
      <c r="AQ22" s="44" t="n">
        <f aca="false">SUMPRODUCT(($S$7:$S$54=AB22&amp;"_draw")*($U$7:$U$54))+SUMPRODUCT(($T$7:$T$54=AB22&amp;"_draw")*($U$7:$U$54))</f>
        <v>0</v>
      </c>
      <c r="AR22" s="44" t="n">
        <f aca="false">SUMPRODUCT(($E$7:$E$54=AB22)*($U$7:$U$54)*($F$7:$F$54))+SUMPRODUCT(($H$7:$H$54=AB22)*($U$7:$U$54)*($G$7:$G$54))</f>
        <v>0</v>
      </c>
      <c r="AS22" s="44" t="n">
        <f aca="false">SUMPRODUCT(($E$7:$E$54=AB22)*($U$7:$U$54)*($G$7:$G$54))+SUMPRODUCT(($H$7:$H$54=AB22)*($U$7:$U$54)*($F$7:$F$54))</f>
        <v>0</v>
      </c>
      <c r="AT22" s="44" t="n">
        <f aca="false">AR22-AS22</f>
        <v>0</v>
      </c>
      <c r="AY22" s="78" t="n">
        <v>54</v>
      </c>
      <c r="AZ22" s="79" t="str">
        <f aca="false">AO44</f>
        <v>1G</v>
      </c>
      <c r="BA22" s="80"/>
      <c r="BB22" s="81"/>
      <c r="BC22" s="94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90"/>
      <c r="BP22" s="70"/>
      <c r="BQ22" s="70" t="str">
        <f aca="false">INDEX(T,24+MONTH(R85),lang) &amp; " " &amp; DAY(R85) &amp; ", " &amp; YEAR(R85) &amp; "   " &amp; TEXT(TIME(HOUR(R85),MINUTE(R85),0),"hh:mm")</f>
        <v>Jul 15, 2018   11:00</v>
      </c>
      <c r="BR22" s="70"/>
      <c r="BS22" s="70"/>
      <c r="BT22" s="86"/>
    </row>
    <row r="23" customFormat="false" ht="15" hidden="false" customHeight="true" outlineLevel="0" collapsed="false">
      <c r="A23" s="59" t="n">
        <v>17</v>
      </c>
      <c r="B23" s="60" t="str">
        <f aca="false">INDEX(T,18+INT(MOD(R23-1,7)),lang)</f>
        <v>Tue</v>
      </c>
      <c r="C23" s="61" t="str">
        <f aca="false">INDEX(T,24+MONTH(R23),lang) &amp; " " &amp; DAY(R23) &amp; ", " &amp; YEAR(R23)</f>
        <v>Jun 19, 2018</v>
      </c>
      <c r="D23" s="62" t="n">
        <f aca="false">TIME(HOUR(R23),MINUTE(R23),0)</f>
        <v>0.583333333333333</v>
      </c>
      <c r="E23" s="63" t="str">
        <f aca="false">AB8</f>
        <v>Rusia</v>
      </c>
      <c r="F23" s="64" t="n">
        <v>3</v>
      </c>
      <c r="G23" s="65" t="n">
        <v>1</v>
      </c>
      <c r="H23" s="66" t="str">
        <f aca="false">AB10</f>
        <v>Egipto</v>
      </c>
      <c r="J23" s="75" t="str">
        <f aca="false">VLOOKUP(3,AA20:AK23,2,0)</f>
        <v>Perú</v>
      </c>
      <c r="K23" s="76" t="n">
        <f aca="false">L23+M23+N23</f>
        <v>3</v>
      </c>
      <c r="L23" s="76" t="n">
        <f aca="false">VLOOKUP(3,AA20:AK23,3,0)</f>
        <v>1</v>
      </c>
      <c r="M23" s="76" t="n">
        <f aca="false">VLOOKUP(3,AA20:AK23,4,0)</f>
        <v>0</v>
      </c>
      <c r="N23" s="76" t="n">
        <f aca="false">VLOOKUP(3,AA20:AK23,5,0)</f>
        <v>2</v>
      </c>
      <c r="O23" s="76" t="str">
        <f aca="false">VLOOKUP(3,AA20:AK23,6,0) &amp; " - " &amp; VLOOKUP(3,AA20:AK23,7,0)</f>
        <v>2 - 2</v>
      </c>
      <c r="P23" s="77" t="n">
        <f aca="false">L23*3+M23</f>
        <v>3</v>
      </c>
      <c r="R23" s="40" t="n">
        <f aca="false">DATE(2018,6,19)+TIME(7,0,0)+gmt_delta</f>
        <v>43270.5833333333</v>
      </c>
      <c r="S23" s="41" t="str">
        <f aca="false">IF(OR(F23="",G23=""),"",IF(F23&gt;G23,E23&amp;"_win",IF(F23&lt;G23,E23&amp;"_lose",E23&amp;"_draw")))</f>
        <v>Rusia_win</v>
      </c>
      <c r="T23" s="41" t="str">
        <f aca="false">IF(S23="","",IF(F23&lt;G23,H23&amp;"_win",IF(F23&gt;G23,H23&amp;"_lose",H23&amp;"_draw")))</f>
        <v>Egipto_lose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VLOOKUP("Denmark",T,lang,0)</f>
        <v>Dinamarca</v>
      </c>
      <c r="AC23" s="40" t="n">
        <f aca="false">COUNTIF($S$7:$T$54,"=" &amp; AB23 &amp; "_win")</f>
        <v>1</v>
      </c>
      <c r="AD23" s="40" t="n">
        <f aca="false">COUNTIF($S$7:$T$54,"=" &amp; AB23 &amp; "_draw")</f>
        <v>2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2</v>
      </c>
      <c r="AG23" s="40" t="n">
        <f aca="false">SUMIF($E$7:$E$54,$AB23,$G$7:$G$54) + SUMIF($H$7:$H$54,$AB23,$F$7:$F$54)</f>
        <v>1</v>
      </c>
      <c r="AH23" s="40" t="n">
        <f aca="false">(AF23-AG23)*100+AK23*10000+AF23</f>
        <v>50102</v>
      </c>
      <c r="AI23" s="40" t="n">
        <f aca="false">AF23-AG23</f>
        <v>1</v>
      </c>
      <c r="AJ23" s="40" t="n">
        <f aca="false">(AI23-AI25)/AI24</f>
        <v>0.666666666666667</v>
      </c>
      <c r="AK23" s="40" t="n">
        <f aca="false">AC23*3+AD23</f>
        <v>5</v>
      </c>
      <c r="AL23" s="40" t="n">
        <f aca="false">AP23/AP24*1000+AQ23/AQ24*100+AT23/AT24*10+AR23/AR24</f>
        <v>0</v>
      </c>
      <c r="AM23" s="40" t="n">
        <f aca="false">VLOOKUP(AB23,db_fifarank,2,0)/2000000</f>
        <v>0.0005495</v>
      </c>
      <c r="AN23" s="42" t="n">
        <f aca="false">1000*AK23/AK24+100*AJ23+10*AF23/AF24+1*AL23/AL24+AM23</f>
        <v>790.952930452381</v>
      </c>
      <c r="AP23" s="44" t="n">
        <f aca="false">SUMPRODUCT(($S$7:$S$54=AB23&amp;"_win")*($U$7:$U$54))+SUMPRODUCT(($T$7:$T$54=AB23&amp;"_win")*($U$7:$U$54))</f>
        <v>0</v>
      </c>
      <c r="AQ23" s="44" t="n">
        <f aca="false">SUMPRODUCT(($S$7:$S$54=AB23&amp;"_draw")*($U$7:$U$54))+SUMPRODUCT(($T$7:$T$54=AB23&amp;"_draw")*($U$7:$U$54))</f>
        <v>0</v>
      </c>
      <c r="AR23" s="44" t="n">
        <f aca="false">SUMPRODUCT(($E$7:$E$54=AB23)*($U$7:$U$54)*($F$7:$F$54))+SUMPRODUCT(($H$7:$H$54=AB23)*($U$7:$U$54)*($G$7:$G$54))</f>
        <v>0</v>
      </c>
      <c r="AS23" s="44" t="n">
        <f aca="false">SUMPRODUCT(($E$7:$E$54=AB23)*($U$7:$U$54)*($G$7:$G$54))+SUMPRODUCT(($H$7:$H$54=AB23)*($U$7:$U$54)*($F$7:$F$54))</f>
        <v>0</v>
      </c>
      <c r="AT23" s="44" t="n">
        <f aca="false">AR23-AS23</f>
        <v>0</v>
      </c>
      <c r="AY23" s="78"/>
      <c r="AZ23" s="82" t="str">
        <f aca="false">AO51</f>
        <v>2H</v>
      </c>
      <c r="BA23" s="83"/>
      <c r="BB23" s="84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90"/>
      <c r="BP23" s="70"/>
      <c r="BQ23" s="78" t="n">
        <v>64</v>
      </c>
      <c r="BR23" s="79" t="str">
        <f aca="false">T76</f>
        <v>W61</v>
      </c>
      <c r="BS23" s="80"/>
      <c r="BT23" s="81"/>
    </row>
    <row r="24" customFormat="false" ht="15" hidden="false" customHeight="true" outlineLevel="0" collapsed="false">
      <c r="A24" s="59" t="n">
        <v>18</v>
      </c>
      <c r="B24" s="60" t="str">
        <f aca="false">INDEX(T,18+INT(MOD(R24-1,7)),lang)</f>
        <v>Wed</v>
      </c>
      <c r="C24" s="61" t="str">
        <f aca="false">INDEX(T,24+MONTH(R24),lang) &amp; " " &amp; DAY(R24) &amp; ", " &amp; YEAR(R24)</f>
        <v>Jun 20, 2018</v>
      </c>
      <c r="D24" s="62" t="n">
        <f aca="false">TIME(HOUR(R24),MINUTE(R24),0)</f>
        <v>0.458333333333333</v>
      </c>
      <c r="E24" s="63" t="str">
        <f aca="false">AB11</f>
        <v>Uruguay</v>
      </c>
      <c r="F24" s="64" t="n">
        <v>1</v>
      </c>
      <c r="G24" s="65" t="n">
        <v>0</v>
      </c>
      <c r="H24" s="66" t="str">
        <f aca="false">AB9</f>
        <v>Arabia Saudita</v>
      </c>
      <c r="J24" s="87" t="str">
        <f aca="false">VLOOKUP(4,AA20:AK23,2,0)</f>
        <v>Australia</v>
      </c>
      <c r="K24" s="88" t="n">
        <f aca="false">L24+M24+N24</f>
        <v>3</v>
      </c>
      <c r="L24" s="88" t="n">
        <f aca="false">VLOOKUP(4,AA20:AK23,3,0)</f>
        <v>0</v>
      </c>
      <c r="M24" s="88" t="n">
        <f aca="false">VLOOKUP(4,AA20:AK23,4,0)</f>
        <v>1</v>
      </c>
      <c r="N24" s="88" t="n">
        <f aca="false">VLOOKUP(4,AA20:AK23,5,0)</f>
        <v>2</v>
      </c>
      <c r="O24" s="88" t="str">
        <f aca="false">VLOOKUP(4,AA20:AK23,6,0) &amp; " - " &amp; VLOOKUP(4,AA20:AK23,7,0)</f>
        <v>2 - 5</v>
      </c>
      <c r="P24" s="89" t="n">
        <f aca="false">L24*3+M24</f>
        <v>1</v>
      </c>
      <c r="R24" s="40" t="n">
        <f aca="false">DATE(2018,6,20)+TIME(4,0,0)+gmt_delta</f>
        <v>43271.4583333333</v>
      </c>
      <c r="S24" s="41" t="str">
        <f aca="false">IF(OR(F24="",G24=""),"",IF(F24&gt;G24,E24&amp;"_win",IF(F24&lt;G24,E24&amp;"_lose",E24&amp;"_draw")))</f>
        <v>Uruguay_win</v>
      </c>
      <c r="T24" s="41" t="str">
        <f aca="false">IF(S24="","",IF(F24&lt;G24,H24&amp;"_win",IF(F24&gt;G24,H24&amp;"_lose",H24&amp;"_draw")))</f>
        <v>Arabia Saudita_lose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3</v>
      </c>
      <c r="AD24" s="40" t="n">
        <f aca="false">MAX(AD20:AD23)-MIN(AD20:AD23)+1</f>
        <v>3</v>
      </c>
      <c r="AE24" s="40" t="n">
        <f aca="false">MAX(AE20:AE23)-MIN(AE20:AE23)+1</f>
        <v>3</v>
      </c>
      <c r="AF24" s="40" t="n">
        <f aca="false">MAX(AF20:AF23)-MIN(AF20:AF23)+1</f>
        <v>2</v>
      </c>
      <c r="AG24" s="40" t="n">
        <f aca="false">MAX(AG20:AG23)-MIN(AG20:AG23)+1</f>
        <v>5</v>
      </c>
      <c r="AH24" s="40" t="n">
        <f aca="false">MAX(AH20:AH23)-AH25+1</f>
        <v>60502</v>
      </c>
      <c r="AI24" s="40" t="n">
        <f aca="false">MAX(AI20:AI23)-AI25+1</f>
        <v>6</v>
      </c>
      <c r="AK24" s="40" t="n">
        <f aca="false">MAX(AK20:AK23)-MIN(AK20:AK23)+1</f>
        <v>7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90"/>
      <c r="BP24" s="93"/>
      <c r="BQ24" s="78"/>
      <c r="BR24" s="82" t="str">
        <f aca="false">T77</f>
        <v>W62</v>
      </c>
      <c r="BS24" s="83"/>
      <c r="BT24" s="84"/>
    </row>
    <row r="25" customFormat="false" ht="15" hidden="false" customHeight="true" outlineLevel="0" collapsed="false">
      <c r="A25" s="59" t="n">
        <v>19</v>
      </c>
      <c r="B25" s="60" t="str">
        <f aca="false">INDEX(T,18+INT(MOD(R25-1,7)),lang)</f>
        <v>Wed</v>
      </c>
      <c r="C25" s="61" t="str">
        <f aca="false">INDEX(T,24+MONTH(R25),lang) &amp; " " &amp; DAY(R25) &amp; ", " &amp; YEAR(R25)</f>
        <v>Jun 20, 2018</v>
      </c>
      <c r="D25" s="62" t="n">
        <f aca="false">TIME(HOUR(R25),MINUTE(R25),0)</f>
        <v>0.333333333333333</v>
      </c>
      <c r="E25" s="63" t="str">
        <f aca="false">AB14</f>
        <v>Portugal</v>
      </c>
      <c r="F25" s="64" t="n">
        <v>1</v>
      </c>
      <c r="G25" s="65" t="n">
        <v>0</v>
      </c>
      <c r="H25" s="66" t="str">
        <f aca="false">AB16</f>
        <v>Marruecos</v>
      </c>
      <c r="J25" s="91"/>
      <c r="K25" s="92"/>
      <c r="L25" s="92"/>
      <c r="M25" s="92"/>
      <c r="N25" s="92"/>
      <c r="O25" s="92"/>
      <c r="P25" s="92"/>
      <c r="R25" s="40" t="n">
        <f aca="false">DATE(2018,6,20)+TIME(1,0,0)+gmt_delta</f>
        <v>43271.3333333333</v>
      </c>
      <c r="S25" s="41" t="str">
        <f aca="false">IF(OR(F25="",G25=""),"",IF(F25&gt;G25,E25&amp;"_win",IF(F25&lt;G25,E25&amp;"_lose",E25&amp;"_draw")))</f>
        <v>Portugal_win</v>
      </c>
      <c r="T25" s="41" t="str">
        <f aca="false">IF(S25="","",IF(F25&lt;G25,H25&amp;"_win",IF(F25&gt;G25,H25&amp;"_lose",H25&amp;"_draw")))</f>
        <v>Marruecos_lose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9702</v>
      </c>
      <c r="AI25" s="40" t="n">
        <f aca="false">MIN(AI20:AI23)</f>
        <v>-3</v>
      </c>
      <c r="AY25" s="70" t="str">
        <f aca="false">INDEX(T,24+MONTH(R60),lang) &amp; " " &amp; DAY(R60) &amp; ", " &amp; YEAR(R60) &amp; "   " &amp; TEXT(TIME(HOUR(R60),MINUTE(R60),0),"hh:mm")</f>
        <v>Jul 1, 2018   10:00</v>
      </c>
      <c r="AZ25" s="70"/>
      <c r="BA25" s="70"/>
      <c r="BB25" s="97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90"/>
      <c r="BP25" s="70"/>
      <c r="BQ25" s="70"/>
      <c r="BR25" s="70"/>
      <c r="BS25" s="70"/>
      <c r="BT25" s="70"/>
    </row>
    <row r="26" customFormat="false" ht="15" hidden="false" customHeight="true" outlineLevel="0" collapsed="false">
      <c r="A26" s="59" t="n">
        <v>20</v>
      </c>
      <c r="B26" s="60" t="str">
        <f aca="false">INDEX(T,18+INT(MOD(R26-1,7)),lang)</f>
        <v>Wed</v>
      </c>
      <c r="C26" s="61" t="str">
        <f aca="false">INDEX(T,24+MONTH(R26),lang) &amp; " " &amp; DAY(R26) &amp; ", " &amp; YEAR(R26)</f>
        <v>Jun 20, 2018</v>
      </c>
      <c r="D26" s="62" t="n">
        <f aca="false">TIME(HOUR(R26),MINUTE(R26),0)</f>
        <v>0.583333333333333</v>
      </c>
      <c r="E26" s="63" t="str">
        <f aca="false">AB17</f>
        <v>Irán</v>
      </c>
      <c r="F26" s="64" t="n">
        <v>0</v>
      </c>
      <c r="G26" s="65" t="n">
        <v>1</v>
      </c>
      <c r="H26" s="66" t="str">
        <f aca="false">AB15</f>
        <v>España</v>
      </c>
      <c r="J26" s="67" t="str">
        <f aca="false">INDEX(T,9,lang) &amp; " " &amp; "D"</f>
        <v>Grupo D</v>
      </c>
      <c r="K26" s="68" t="str">
        <f aca="false">INDEX(T,10,lang)</f>
        <v>J</v>
      </c>
      <c r="L26" s="68" t="str">
        <f aca="false">INDEX(T,11,lang)</f>
        <v>G</v>
      </c>
      <c r="M26" s="68" t="str">
        <f aca="false">INDEX(T,12,lang)</f>
        <v>DRAW</v>
      </c>
      <c r="N26" s="68" t="str">
        <f aca="false">INDEX(T,13,lang)</f>
        <v>P</v>
      </c>
      <c r="O26" s="68" t="str">
        <f aca="false">INDEX(T,14,lang)</f>
        <v>GF - GC</v>
      </c>
      <c r="P26" s="69" t="str">
        <f aca="false">INDEX(T,15,lang)</f>
        <v>PTS</v>
      </c>
      <c r="R26" s="40" t="n">
        <f aca="false">DATE(2018,6,20)+TIME(7,0,0)+gmt_delta</f>
        <v>43271.5833333333</v>
      </c>
      <c r="S26" s="41" t="str">
        <f aca="false">IF(OR(F26="",G26=""),"",IF(F26&gt;G26,E26&amp;"_win",IF(F26&lt;G26,E26&amp;"_lose",E26&amp;"_draw")))</f>
        <v>Irán_lose</v>
      </c>
      <c r="T26" s="41" t="str">
        <f aca="false">IF(S26="","",IF(F26&lt;G26,H26&amp;"_win",IF(F26&gt;G26,H26&amp;"_lose",H26&amp;"_draw")))</f>
        <v>España_win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-1</v>
      </c>
      <c r="AA26" s="40" t="n">
        <f aca="false">COUNTIF(AN26:AN29,CONCATENATE("&gt;=",AN26))</f>
        <v>2</v>
      </c>
      <c r="AB26" s="42" t="str">
        <f aca="false">VLOOKUP("Argentina",T,lang,0)</f>
        <v>Argentina</v>
      </c>
      <c r="AC26" s="40" t="n">
        <f aca="false">COUNTIF($S$7:$T$54,"=" &amp; AB26 &amp; "_win")</f>
        <v>1</v>
      </c>
      <c r="AD26" s="40" t="n">
        <f aca="false">COUNTIF($S$7:$T$54,"=" &amp; AB26 &amp; "_draw")</f>
        <v>1</v>
      </c>
      <c r="AE26" s="40" t="n">
        <f aca="false">COUNTIF($S$7:$T$54,"=" &amp; AB26 &amp; "_lose")</f>
        <v>1</v>
      </c>
      <c r="AF26" s="40" t="n">
        <f aca="false">SUMIF($E$7:$E$54,$AB26,$F$7:$F$54) + SUMIF($H$7:$H$54,$AB26,$G$7:$G$54)</f>
        <v>3</v>
      </c>
      <c r="AG26" s="40" t="n">
        <f aca="false">SUMIF($E$7:$E$54,$AB26,$G$7:$G$54) + SUMIF($H$7:$H$54,$AB26,$F$7:$F$54)</f>
        <v>5</v>
      </c>
      <c r="AH26" s="40" t="n">
        <f aca="false">(AF26-AG26)*100+AK26*10000+AF26</f>
        <v>39803</v>
      </c>
      <c r="AI26" s="40" t="n">
        <f aca="false">AF26-AG26</f>
        <v>-2</v>
      </c>
      <c r="AJ26" s="40" t="n">
        <f aca="false">(AI26-AI31)/AI30</f>
        <v>0</v>
      </c>
      <c r="AK26" s="40" t="n">
        <f aca="false">AC26*3+AD26</f>
        <v>4</v>
      </c>
      <c r="AL26" s="40" t="n">
        <f aca="false">AP26/AP30*1000+AQ26/AQ30*100+AT26/AT30*10+AR26/AR30</f>
        <v>0</v>
      </c>
      <c r="AM26" s="40" t="n">
        <f aca="false">VLOOKUP(AB26,db_fifarank,2,0)/2000000</f>
        <v>0.000674</v>
      </c>
      <c r="AN26" s="42" t="n">
        <f aca="false">1000*AK26/AK30+100*AJ26+10*AF26/AF30+1*AL26/AL30+AM26</f>
        <v>672.667340666667</v>
      </c>
      <c r="AO26" s="43" t="str">
        <f aca="false">IF(SUM(AC26:AE29)=12,J27,INDEX(T,76,lang))</f>
        <v>Croacia</v>
      </c>
      <c r="AP26" s="44" t="n">
        <f aca="false">SUMPRODUCT(($S$7:$S$54=AB26&amp;"_win")*($U$7:$U$54))+SUMPRODUCT(($T$7:$T$54=AB26&amp;"_win")*($U$7:$U$54))</f>
        <v>0</v>
      </c>
      <c r="AQ26" s="44" t="n">
        <f aca="false">SUMPRODUCT(($S$7:$S$54=AB26&amp;"_draw")*($U$7:$U$54))+SUMPRODUCT(($T$7:$T$54=AB26&amp;"_draw")*($U$7:$U$54))</f>
        <v>0</v>
      </c>
      <c r="AR26" s="44" t="n">
        <f aca="false">SUMPRODUCT(($E$7:$E$54=AB26)*($U$7:$U$54)*($F$7:$F$54))+SUMPRODUCT(($H$7:$H$54=AB26)*($U$7:$U$54)*($G$7:$G$54))</f>
        <v>0</v>
      </c>
      <c r="AS26" s="44" t="n">
        <f aca="false">SUMPRODUCT(($E$7:$E$54=AB26)*($U$7:$U$54)*($G$7:$G$54))+SUMPRODUCT(($H$7:$H$54=AB26)*($U$7:$U$54)*($F$7:$F$54))</f>
        <v>0</v>
      </c>
      <c r="AT26" s="44" t="n">
        <f aca="false">AR26-AS26</f>
        <v>0</v>
      </c>
      <c r="AY26" s="78" t="n">
        <v>51</v>
      </c>
      <c r="AZ26" s="79" t="str">
        <f aca="false">AO14</f>
        <v>España</v>
      </c>
      <c r="BA26" s="80"/>
      <c r="BB26" s="81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90"/>
      <c r="BP26" s="70"/>
      <c r="BQ26" s="70"/>
      <c r="BR26" s="70"/>
      <c r="BS26" s="70"/>
      <c r="BT26" s="70"/>
    </row>
    <row r="27" customFormat="false" ht="15" hidden="false" customHeight="true" outlineLevel="0" collapsed="false">
      <c r="A27" s="59" t="n">
        <v>21</v>
      </c>
      <c r="B27" s="60" t="str">
        <f aca="false">INDEX(T,18+INT(MOD(R27-1,7)),lang)</f>
        <v>Thu</v>
      </c>
      <c r="C27" s="61" t="str">
        <f aca="false">INDEX(T,24+MONTH(R27),lang) &amp; " " &amp; DAY(R27) &amp; ", " &amp; YEAR(R27)</f>
        <v>Jun 21, 2018</v>
      </c>
      <c r="D27" s="62" t="n">
        <f aca="false">TIME(HOUR(R27),MINUTE(R27),0)</f>
        <v>0.458333333333333</v>
      </c>
      <c r="E27" s="63" t="str">
        <f aca="false">AB20</f>
        <v>Francia</v>
      </c>
      <c r="F27" s="64" t="n">
        <v>1</v>
      </c>
      <c r="G27" s="65" t="n">
        <v>0</v>
      </c>
      <c r="H27" s="66" t="str">
        <f aca="false">AB22</f>
        <v>Perú</v>
      </c>
      <c r="J27" s="71" t="str">
        <f aca="false">VLOOKUP(1,AA26:AK29,2,0)</f>
        <v>Croacia</v>
      </c>
      <c r="K27" s="72" t="n">
        <f aca="false">L27+M27+N27</f>
        <v>3</v>
      </c>
      <c r="L27" s="72" t="n">
        <f aca="false">VLOOKUP(1,AA26:AK29,3,0)</f>
        <v>2</v>
      </c>
      <c r="M27" s="72" t="n">
        <f aca="false">VLOOKUP(1,AA26:AK29,4,0)</f>
        <v>1</v>
      </c>
      <c r="N27" s="72" t="n">
        <f aca="false">VLOOKUP(1,AA26:AK29,5,0)</f>
        <v>0</v>
      </c>
      <c r="O27" s="72" t="str">
        <f aca="false">VLOOKUP(1,AA26:AK29,6,0) &amp; " - " &amp; VLOOKUP(1,AA26:AK29,7,0)</f>
        <v>6 - 1</v>
      </c>
      <c r="P27" s="73" t="n">
        <f aca="false">L27*3+M27</f>
        <v>7</v>
      </c>
      <c r="R27" s="40" t="n">
        <f aca="false">DATE(2018,6,21)+TIME(4,0,0)+gmt_delta</f>
        <v>43272.4583333333</v>
      </c>
      <c r="S27" s="41" t="str">
        <f aca="false">IF(OR(F27="",G27=""),"",IF(F27&gt;G27,E27&amp;"_win",IF(F27&lt;G27,E27&amp;"_lose",E27&amp;"_draw")))</f>
        <v>Francia_win</v>
      </c>
      <c r="T27" s="41" t="str">
        <f aca="false">IF(S27="","",IF(F27&lt;G27,H27&amp;"_win",IF(F27&gt;G27,H27&amp;"_lose",H27&amp;"_draw")))</f>
        <v>Perú_lose</v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1</v>
      </c>
      <c r="AA27" s="40" t="n">
        <f aca="false">COUNTIF(AN26:AN29,CONCATENATE("&gt;=",AN27))</f>
        <v>4</v>
      </c>
      <c r="AB27" s="42" t="str">
        <f aca="false">VLOOKUP("Iceland",T,lang,0)</f>
        <v>Islandia</v>
      </c>
      <c r="AC27" s="40" t="n">
        <f aca="false">COUNTIF($S$7:$T$54,"=" &amp; AB27 &amp; "_win")</f>
        <v>0</v>
      </c>
      <c r="AD27" s="40" t="n">
        <f aca="false">COUNTIF($S$7:$T$54,"=" &amp; AB27 &amp; "_draw")</f>
        <v>2</v>
      </c>
      <c r="AE27" s="40" t="n">
        <f aca="false">COUNTIF($S$7:$T$54,"=" &amp; AB27 &amp; "_lose")</f>
        <v>1</v>
      </c>
      <c r="AF27" s="40" t="n">
        <f aca="false">SUMIF($E$7:$E$54,$AB27,$F$7:$F$54) + SUMIF($H$7:$H$54,$AB27,$G$7:$G$54)</f>
        <v>2</v>
      </c>
      <c r="AG27" s="40" t="n">
        <f aca="false">SUMIF($E$7:$E$54,$AB27,$G$7:$G$54) + SUMIF($H$7:$H$54,$AB27,$F$7:$F$54)</f>
        <v>4</v>
      </c>
      <c r="AH27" s="40" t="n">
        <f aca="false">(AF27-AG27)*100+AK27*10000+AF27</f>
        <v>19802</v>
      </c>
      <c r="AI27" s="40" t="n">
        <f aca="false">AF27-AG27</f>
        <v>-2</v>
      </c>
      <c r="AJ27" s="40" t="n">
        <f aca="false">(AI27-AI31)/AI30</f>
        <v>0</v>
      </c>
      <c r="AK27" s="40" t="n">
        <f aca="false">AC27*3+AD27</f>
        <v>2</v>
      </c>
      <c r="AL27" s="40" t="n">
        <f aca="false">AP27/AP30*1000+AQ27/AQ30*100+AT27/AT30*10+AR27/AR30</f>
        <v>0</v>
      </c>
      <c r="AM27" s="40" t="n">
        <f aca="false">VLOOKUP(AB27,db_fifarank,2,0)/2000000</f>
        <v>0.000455</v>
      </c>
      <c r="AN27" s="42" t="n">
        <f aca="false">1000*AK27/AK30+100*AJ27+10*AF27/AF30+1*AL27/AL30+AM27</f>
        <v>337.333788333333</v>
      </c>
      <c r="AO27" s="43" t="str">
        <f aca="false">IF(SUM(AC26:AE29)=12,J28,INDEX(T,77,lang))</f>
        <v>Argentina</v>
      </c>
      <c r="AP27" s="44" t="n">
        <f aca="false">SUMPRODUCT(($S$7:$S$54=AB27&amp;"_win")*($U$7:$U$54))+SUMPRODUCT(($T$7:$T$54=AB27&amp;"_win")*($U$7:$U$54))</f>
        <v>0</v>
      </c>
      <c r="AQ27" s="44" t="n">
        <f aca="false">SUMPRODUCT(($S$7:$S$54=AB27&amp;"_draw")*($U$7:$U$54))+SUMPRODUCT(($T$7:$T$54=AB27&amp;"_draw")*($U$7:$U$54))</f>
        <v>0</v>
      </c>
      <c r="AR27" s="44" t="n">
        <f aca="false">SUMPRODUCT(($E$7:$E$54=AB27)*($U$7:$U$54)*($F$7:$F$54))+SUMPRODUCT(($H$7:$H$54=AB27)*($U$7:$U$54)*($G$7:$G$54))</f>
        <v>0</v>
      </c>
      <c r="AS27" s="44" t="n">
        <f aca="false">SUMPRODUCT(($E$7:$E$54=AB27)*($U$7:$U$54)*($G$7:$G$54))+SUMPRODUCT(($H$7:$H$54=AB27)*($U$7:$U$54)*($F$7:$F$54))</f>
        <v>0</v>
      </c>
      <c r="AT27" s="44" t="n">
        <f aca="false">AR27-AS27</f>
        <v>0</v>
      </c>
      <c r="AY27" s="78"/>
      <c r="AZ27" s="82" t="str">
        <f aca="false">AO9</f>
        <v>Rusia</v>
      </c>
      <c r="BA27" s="83"/>
      <c r="BB27" s="84"/>
      <c r="BC27" s="85"/>
      <c r="BD27" s="70"/>
      <c r="BE27" s="70" t="str">
        <f aca="false">INDEX(T,24+MONTH(R71),lang) &amp; " " &amp; DAY(R71) &amp; ", " &amp; YEAR(R71) &amp; "   " &amp; TEXT(TIME(HOUR(R71),MINUTE(R71),0),"hh:mm")</f>
        <v>Jul 7, 2018   10:00</v>
      </c>
      <c r="BF27" s="70"/>
      <c r="BG27" s="70"/>
      <c r="BH27" s="86"/>
      <c r="BI27" s="70"/>
      <c r="BJ27" s="70"/>
      <c r="BK27" s="70"/>
      <c r="BL27" s="70"/>
      <c r="BM27" s="70"/>
      <c r="BN27" s="70"/>
      <c r="BO27" s="90"/>
      <c r="BP27" s="70"/>
      <c r="BQ27" s="70"/>
      <c r="BR27" s="70"/>
      <c r="BS27" s="70"/>
      <c r="BT27" s="70"/>
    </row>
    <row r="28" customFormat="false" ht="15" hidden="false" customHeight="true" outlineLevel="0" collapsed="false">
      <c r="A28" s="59" t="n">
        <v>22</v>
      </c>
      <c r="B28" s="60" t="str">
        <f aca="false">INDEX(T,18+INT(MOD(R28-1,7)),lang)</f>
        <v>Thu</v>
      </c>
      <c r="C28" s="61" t="str">
        <f aca="false">INDEX(T,24+MONTH(R28),lang) &amp; " " &amp; DAY(R28) &amp; ", " &amp; YEAR(R28)</f>
        <v>Jun 21, 2018</v>
      </c>
      <c r="D28" s="62" t="n">
        <f aca="false">TIME(HOUR(R28),MINUTE(R28),0)</f>
        <v>0.333333333333333</v>
      </c>
      <c r="E28" s="63" t="str">
        <f aca="false">AB23</f>
        <v>Dinamarca</v>
      </c>
      <c r="F28" s="64" t="n">
        <v>1</v>
      </c>
      <c r="G28" s="65" t="n">
        <v>1</v>
      </c>
      <c r="H28" s="66" t="str">
        <f aca="false">AB21</f>
        <v>Australia</v>
      </c>
      <c r="J28" s="75" t="str">
        <f aca="false">VLOOKUP(2,AA26:AK29,2,0)</f>
        <v>Argentina</v>
      </c>
      <c r="K28" s="76" t="n">
        <f aca="false">L28+M28+N28</f>
        <v>3</v>
      </c>
      <c r="L28" s="76" t="n">
        <f aca="false">VLOOKUP(2,AA26:AK29,3,0)</f>
        <v>1</v>
      </c>
      <c r="M28" s="76" t="n">
        <f aca="false">VLOOKUP(2,AA26:AK29,4,0)</f>
        <v>1</v>
      </c>
      <c r="N28" s="76" t="n">
        <f aca="false">VLOOKUP(2,AA26:AK29,5,0)</f>
        <v>1</v>
      </c>
      <c r="O28" s="76" t="str">
        <f aca="false">VLOOKUP(2,AA26:AK29,6,0) &amp; " - " &amp; VLOOKUP(2,AA26:AK29,7,0)</f>
        <v>3 - 5</v>
      </c>
      <c r="P28" s="77" t="n">
        <f aca="false">L28*3+M28</f>
        <v>4</v>
      </c>
      <c r="R28" s="40" t="n">
        <f aca="false">DATE(2018,6,21)+TIME(1,0,0)+gmt_delta</f>
        <v>43272.3333333333</v>
      </c>
      <c r="S28" s="41" t="str">
        <f aca="false">IF(OR(F28="",G28=""),"",IF(F28&gt;G28,E28&amp;"_win",IF(F28&lt;G28,E28&amp;"_lose",E28&amp;"_draw")))</f>
        <v>Dinamarca_draw</v>
      </c>
      <c r="T28" s="41" t="str">
        <f aca="false">IF(S28="","",IF(F28&lt;G28,H28&amp;"_win",IF(F28&gt;G28,H28&amp;"_lose",H28&amp;"_draw")))</f>
        <v>Australia_draw</v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0</v>
      </c>
      <c r="AA28" s="40" t="n">
        <f aca="false">COUNTIF(AN26:AN29,CONCATENATE("&gt;=",AN28))</f>
        <v>1</v>
      </c>
      <c r="AB28" s="42" t="str">
        <f aca="false">VLOOKUP("Croatia",T,lang,0)</f>
        <v>Croacia</v>
      </c>
      <c r="AC28" s="40" t="n">
        <f aca="false">COUNTIF($S$7:$T$54,"=" &amp; AB28 &amp; "_win")</f>
        <v>2</v>
      </c>
      <c r="AD28" s="40" t="n">
        <f aca="false">COUNTIF($S$7:$T$54,"=" &amp; AB28 &amp; "_draw")</f>
        <v>1</v>
      </c>
      <c r="AE28" s="40" t="n">
        <f aca="false">COUNTIF($S$7:$T$54,"=" &amp; AB28 &amp; "_lose")</f>
        <v>0</v>
      </c>
      <c r="AF28" s="40" t="n">
        <f aca="false">SUMIF($E$7:$E$54,$AB28,$F$7:$F$54) + SUMIF($H$7:$H$54,$AB28,$G$7:$G$54)</f>
        <v>6</v>
      </c>
      <c r="AG28" s="40" t="n">
        <f aca="false">SUMIF($E$7:$E$54,$AB28,$G$7:$G$54) + SUMIF($H$7:$H$54,$AB28,$F$7:$F$54)</f>
        <v>1</v>
      </c>
      <c r="AH28" s="40" t="n">
        <f aca="false">(AF28-AG28)*100+AK28*10000+AF28</f>
        <v>70506</v>
      </c>
      <c r="AI28" s="40" t="n">
        <f aca="false">AF28-AG28</f>
        <v>5</v>
      </c>
      <c r="AJ28" s="40" t="n">
        <f aca="false">(AI28-AI31)/AI30</f>
        <v>0.875</v>
      </c>
      <c r="AK28" s="40" t="n">
        <f aca="false">AC28*3+AD28</f>
        <v>7</v>
      </c>
      <c r="AL28" s="40" t="n">
        <f aca="false">AP28/AP30*1000+AQ28/AQ30*100+AT28/AT30*10+AR28/AR30</f>
        <v>0</v>
      </c>
      <c r="AM28" s="40" t="n">
        <f aca="false">VLOOKUP(AB28,db_fifarank,2,0)/2000000</f>
        <v>0.000509</v>
      </c>
      <c r="AN28" s="42" t="n">
        <f aca="false">1000*AK28/AK30+100*AJ28+10*AF28/AF30+1*AL28/AL30+AM28</f>
        <v>1266.16717566667</v>
      </c>
      <c r="AP28" s="44" t="n">
        <f aca="false">SUMPRODUCT(($S$7:$S$54=AB28&amp;"_win")*($U$7:$U$54))+SUMPRODUCT(($T$7:$T$54=AB28&amp;"_win")*($U$7:$U$54))</f>
        <v>0</v>
      </c>
      <c r="AQ28" s="44" t="n">
        <f aca="false">SUMPRODUCT(($S$7:$S$54=AB28&amp;"_draw")*($U$7:$U$54))+SUMPRODUCT(($T$7:$T$54=AB28&amp;"_draw")*($U$7:$U$54))</f>
        <v>0</v>
      </c>
      <c r="AR28" s="44" t="n">
        <f aca="false">SUMPRODUCT(($E$7:$E$54=AB28)*($U$7:$U$54)*($F$7:$F$54))+SUMPRODUCT(($H$7:$H$54=AB28)*($U$7:$U$54)*($G$7:$G$54))</f>
        <v>0</v>
      </c>
      <c r="AS28" s="44" t="n">
        <f aca="false">SUMPRODUCT(($E$7:$E$54=AB28)*($U$7:$U$54)*($G$7:$G$54))+SUMPRODUCT(($H$7:$H$54=AB28)*($U$7:$U$54)*($F$7:$F$54))</f>
        <v>0</v>
      </c>
      <c r="AT28" s="44" t="n">
        <f aca="false">AR28-AS28</f>
        <v>0</v>
      </c>
      <c r="AY28" s="70"/>
      <c r="AZ28" s="70"/>
      <c r="BA28" s="70"/>
      <c r="BB28" s="70"/>
      <c r="BC28" s="90"/>
      <c r="BD28" s="70"/>
      <c r="BE28" s="78" t="n">
        <v>59</v>
      </c>
      <c r="BF28" s="79" t="str">
        <f aca="false">T60</f>
        <v>W51</v>
      </c>
      <c r="BG28" s="80"/>
      <c r="BH28" s="81"/>
      <c r="BI28" s="70"/>
      <c r="BJ28" s="70"/>
      <c r="BK28" s="70"/>
      <c r="BL28" s="70"/>
      <c r="BM28" s="70"/>
      <c r="BN28" s="70"/>
      <c r="BO28" s="90"/>
      <c r="BP28" s="70"/>
      <c r="BQ28" s="70"/>
      <c r="BR28" s="70"/>
      <c r="BS28" s="70"/>
      <c r="BT28" s="70"/>
    </row>
    <row r="29" customFormat="false" ht="15" hidden="false" customHeight="true" outlineLevel="0" collapsed="false">
      <c r="A29" s="59" t="n">
        <v>23</v>
      </c>
      <c r="B29" s="60" t="str">
        <f aca="false">INDEX(T,18+INT(MOD(R29-1,7)),lang)</f>
        <v>Thu</v>
      </c>
      <c r="C29" s="61" t="str">
        <f aca="false">INDEX(T,24+MONTH(R29),lang) &amp; " " &amp; DAY(R29) &amp; ", " &amp; YEAR(R29)</f>
        <v>Jun 21, 2018</v>
      </c>
      <c r="D29" s="62" t="n">
        <f aca="false">TIME(HOUR(R29),MINUTE(R29),0)</f>
        <v>0.583333333333333</v>
      </c>
      <c r="E29" s="63" t="str">
        <f aca="false">AB26</f>
        <v>Argentina</v>
      </c>
      <c r="F29" s="64" t="n">
        <v>0</v>
      </c>
      <c r="G29" s="65" t="n">
        <v>3</v>
      </c>
      <c r="H29" s="66" t="str">
        <f aca="false">AB28</f>
        <v>Croacia</v>
      </c>
      <c r="J29" s="75" t="str">
        <f aca="false">VLOOKUP(3,AA26:AK29,2,0)</f>
        <v>Nigeria</v>
      </c>
      <c r="K29" s="76" t="n">
        <f aca="false">L29+M29+N29</f>
        <v>3</v>
      </c>
      <c r="L29" s="76" t="n">
        <f aca="false">VLOOKUP(3,AA26:AK29,3,0)</f>
        <v>1</v>
      </c>
      <c r="M29" s="76" t="n">
        <f aca="false">VLOOKUP(3,AA26:AK29,4,0)</f>
        <v>0</v>
      </c>
      <c r="N29" s="76" t="n">
        <f aca="false">VLOOKUP(3,AA26:AK29,5,0)</f>
        <v>2</v>
      </c>
      <c r="O29" s="76" t="str">
        <f aca="false">VLOOKUP(3,AA26:AK29,6,0) &amp; " - " &amp; VLOOKUP(3,AA26:AK29,7,0)</f>
        <v>3 - 4</v>
      </c>
      <c r="P29" s="77" t="n">
        <f aca="false">L29*3+M29</f>
        <v>3</v>
      </c>
      <c r="R29" s="40" t="n">
        <f aca="false">DATE(2018,6,21)+TIME(7,0,0)+gmt_delta</f>
        <v>43272.5833333333</v>
      </c>
      <c r="S29" s="41" t="str">
        <f aca="false">IF(OR(F29="",G29=""),"",IF(F29&gt;G29,E29&amp;"_win",IF(F29&lt;G29,E29&amp;"_lose",E29&amp;"_draw")))</f>
        <v>Argentina_lose</v>
      </c>
      <c r="T29" s="41" t="str">
        <f aca="false">IF(S29="","",IF(F29&lt;G29,H29&amp;"_win",IF(F29&gt;G29,H29&amp;"_lose",H29&amp;"_draw")))</f>
        <v>Croacia_win</v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-1</v>
      </c>
      <c r="AA29" s="40" t="n">
        <f aca="false">COUNTIF(AN26:AN29,CONCATENATE("&gt;=",AN29))</f>
        <v>3</v>
      </c>
      <c r="AB29" s="42" t="str">
        <f aca="false">VLOOKUP("Nigeria",T,lang,0)</f>
        <v>Nigeria</v>
      </c>
      <c r="AC29" s="40" t="n">
        <f aca="false">COUNTIF($S$7:$T$54,"=" &amp; AB29 &amp; "_win")</f>
        <v>1</v>
      </c>
      <c r="AD29" s="40" t="n">
        <f aca="false">COUNTIF($S$7:$T$54,"=" &amp; AB29 &amp; "_draw")</f>
        <v>0</v>
      </c>
      <c r="AE29" s="40" t="n">
        <f aca="false">COUNTIF($S$7:$T$54,"=" &amp; AB29 &amp; "_lose")</f>
        <v>2</v>
      </c>
      <c r="AF29" s="40" t="n">
        <f aca="false">SUMIF($E$7:$E$54,$AB29,$F$7:$F$54) + SUMIF($H$7:$H$54,$AB29,$G$7:$G$54)</f>
        <v>3</v>
      </c>
      <c r="AG29" s="40" t="n">
        <f aca="false">SUMIF($E$7:$E$54,$AB29,$G$7:$G$54) + SUMIF($H$7:$H$54,$AB29,$F$7:$F$54)</f>
        <v>4</v>
      </c>
      <c r="AH29" s="40" t="n">
        <f aca="false">(AF29-AG29)*100+AK29*10000+AF29</f>
        <v>29903</v>
      </c>
      <c r="AI29" s="40" t="n">
        <f aca="false">AF29-AG29</f>
        <v>-1</v>
      </c>
      <c r="AJ29" s="40" t="n">
        <f aca="false">(AI29-AI31)/AI30</f>
        <v>0.125</v>
      </c>
      <c r="AK29" s="40" t="n">
        <f aca="false">AC29*3+AD29</f>
        <v>3</v>
      </c>
      <c r="AL29" s="40" t="n">
        <f aca="false">AP29/AP30*1000+AQ29/AQ30*100+AT29/AT30*10+AR29/AR30</f>
        <v>0</v>
      </c>
      <c r="AM29" s="40" t="n">
        <f aca="false">VLOOKUP(AB29,db_fifarank,2,0)/2000000</f>
        <v>0.00032</v>
      </c>
      <c r="AN29" s="42" t="n">
        <f aca="false">1000*AK29/AK30+100*AJ29+10*AF29/AF30+1*AL29/AL30+AM29</f>
        <v>518.50032</v>
      </c>
      <c r="AP29" s="44" t="n">
        <f aca="false">SUMPRODUCT(($S$7:$S$54=AB29&amp;"_win")*($U$7:$U$54))+SUMPRODUCT(($T$7:$T$54=AB29&amp;"_win")*($U$7:$U$54))</f>
        <v>0</v>
      </c>
      <c r="AQ29" s="44" t="n">
        <f aca="false">SUMPRODUCT(($S$7:$S$54=AB29&amp;"_draw")*($U$7:$U$54))+SUMPRODUCT(($T$7:$T$54=AB29&amp;"_draw")*($U$7:$U$54))</f>
        <v>0</v>
      </c>
      <c r="AR29" s="44" t="n">
        <f aca="false">SUMPRODUCT(($E$7:$E$54=AB29)*($U$7:$U$54)*($F$7:$F$54))+SUMPRODUCT(($H$7:$H$54=AB29)*($U$7:$U$54)*($G$7:$G$54))</f>
        <v>0</v>
      </c>
      <c r="AS29" s="44" t="n">
        <f aca="false">SUMPRODUCT(($E$7:$E$54=AB29)*($U$7:$U$54)*($G$7:$G$54))+SUMPRODUCT(($H$7:$H$54=AB29)*($U$7:$U$54)*($F$7:$F$54))</f>
        <v>0</v>
      </c>
      <c r="AT29" s="44" t="n">
        <f aca="false">AR29-AS29</f>
        <v>0</v>
      </c>
      <c r="AY29" s="70" t="str">
        <f aca="false">INDEX(T,24+MONTH(R61),lang) &amp; " " &amp; DAY(R61) &amp; ", " &amp; YEAR(R61) &amp; "   " &amp; TEXT(TIME(HOUR(R61),MINUTE(R61),0),"hh:mm")</f>
        <v>Jul 1, 2018   14:00</v>
      </c>
      <c r="AZ29" s="70"/>
      <c r="BA29" s="70"/>
      <c r="BB29" s="86"/>
      <c r="BC29" s="90"/>
      <c r="BD29" s="93"/>
      <c r="BE29" s="78"/>
      <c r="BF29" s="82" t="str">
        <f aca="false">T61</f>
        <v>W52</v>
      </c>
      <c r="BG29" s="83"/>
      <c r="BH29" s="84"/>
      <c r="BI29" s="85"/>
      <c r="BJ29" s="70"/>
      <c r="BK29" s="70"/>
      <c r="BL29" s="70"/>
      <c r="BM29" s="70"/>
      <c r="BN29" s="70"/>
      <c r="BO29" s="90"/>
      <c r="BP29" s="70"/>
      <c r="BQ29" s="70"/>
      <c r="BR29" s="70"/>
      <c r="BS29" s="70"/>
      <c r="BT29" s="70"/>
    </row>
    <row r="30" customFormat="false" ht="15" hidden="false" customHeight="true" outlineLevel="0" collapsed="false">
      <c r="A30" s="59" t="n">
        <v>24</v>
      </c>
      <c r="B30" s="60" t="str">
        <f aca="false">INDEX(T,18+INT(MOD(R30-1,7)),lang)</f>
        <v>Fri</v>
      </c>
      <c r="C30" s="61" t="str">
        <f aca="false">INDEX(T,24+MONTH(R30),lang) &amp; " " &amp; DAY(R30) &amp; ", " &amp; YEAR(R30)</f>
        <v>Jun 22, 2018</v>
      </c>
      <c r="D30" s="62" t="n">
        <f aca="false">TIME(HOUR(R30),MINUTE(R30),0)</f>
        <v>0.458333333333333</v>
      </c>
      <c r="E30" s="63" t="str">
        <f aca="false">AB29</f>
        <v>Nigeria</v>
      </c>
      <c r="F30" s="64" t="n">
        <v>2</v>
      </c>
      <c r="G30" s="65" t="n">
        <v>0</v>
      </c>
      <c r="H30" s="66" t="str">
        <f aca="false">AB27</f>
        <v>Islandia</v>
      </c>
      <c r="J30" s="87" t="str">
        <f aca="false">VLOOKUP(4,AA26:AK29,2,0)</f>
        <v>Islandia</v>
      </c>
      <c r="K30" s="88" t="n">
        <f aca="false">L30+M30+N30</f>
        <v>3</v>
      </c>
      <c r="L30" s="88" t="n">
        <f aca="false">VLOOKUP(4,AA26:AK29,3,0)</f>
        <v>0</v>
      </c>
      <c r="M30" s="88" t="n">
        <f aca="false">VLOOKUP(4,AA26:AK29,4,0)</f>
        <v>2</v>
      </c>
      <c r="N30" s="88" t="n">
        <f aca="false">VLOOKUP(4,AA26:AK29,5,0)</f>
        <v>1</v>
      </c>
      <c r="O30" s="88" t="str">
        <f aca="false">VLOOKUP(4,AA26:AK29,6,0) &amp; " - " &amp; VLOOKUP(4,AA26:AK29,7,0)</f>
        <v>2 - 4</v>
      </c>
      <c r="P30" s="89" t="n">
        <f aca="false">L30*3+M30</f>
        <v>2</v>
      </c>
      <c r="R30" s="40" t="n">
        <f aca="false">DATE(2018,6,22)+TIME(4,0,0)+gmt_delta</f>
        <v>43273.4583333333</v>
      </c>
      <c r="S30" s="41" t="str">
        <f aca="false">IF(OR(F30="",G30=""),"",IF(F30&gt;G30,E30&amp;"_win",IF(F30&lt;G30,E30&amp;"_lose",E30&amp;"_draw")))</f>
        <v>Nigeria_win</v>
      </c>
      <c r="T30" s="41" t="str">
        <f aca="false">IF(S30="","",IF(F30&lt;G30,H30&amp;"_win",IF(F30&gt;G30,H30&amp;"_lose",H30&amp;"_draw")))</f>
        <v>Islandia_lose</v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n">
        <f aca="false">IF(OR(F30="",G30=""),"",IF(F30&gt;G30,1,IF(F30&lt;G30,-1,0)))</f>
        <v>1</v>
      </c>
      <c r="AC30" s="40" t="n">
        <f aca="false">MAX(AC26:AC29)-MIN(AC26:AC29)+1</f>
        <v>3</v>
      </c>
      <c r="AD30" s="40" t="n">
        <f aca="false">MAX(AD26:AD29)-MIN(AD26:AD29)+1</f>
        <v>3</v>
      </c>
      <c r="AE30" s="40" t="n">
        <f aca="false">MAX(AE26:AE29)-MIN(AE26:AE29)+1</f>
        <v>3</v>
      </c>
      <c r="AF30" s="40" t="n">
        <f aca="false">MAX(AF26:AF29)-MIN(AF26:AF29)+1</f>
        <v>5</v>
      </c>
      <c r="AG30" s="40" t="n">
        <f aca="false">MAX(AG26:AG29)-MIN(AG26:AG29)+1</f>
        <v>5</v>
      </c>
      <c r="AH30" s="40" t="n">
        <f aca="false">MAX(AH26:AH29)-AH31+1</f>
        <v>50705</v>
      </c>
      <c r="AI30" s="40" t="n">
        <f aca="false">MAX(AI26:AI29)-AI31+1</f>
        <v>8</v>
      </c>
      <c r="AK30" s="40" t="n">
        <f aca="false">MAX(AK26:AK29)-MIN(AK26:AK29)+1</f>
        <v>6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8" t="n">
        <v>52</v>
      </c>
      <c r="AZ30" s="79" t="str">
        <f aca="false">AO26</f>
        <v>Croacia</v>
      </c>
      <c r="BA30" s="80"/>
      <c r="BB30" s="81"/>
      <c r="BC30" s="94"/>
      <c r="BD30" s="70"/>
      <c r="BE30" s="70"/>
      <c r="BF30" s="70"/>
      <c r="BG30" s="70"/>
      <c r="BH30" s="70"/>
      <c r="BI30" s="90"/>
      <c r="BJ30" s="70"/>
      <c r="BK30" s="70"/>
      <c r="BL30" s="70"/>
      <c r="BM30" s="70"/>
      <c r="BN30" s="70"/>
      <c r="BO30" s="90"/>
      <c r="BP30" s="70"/>
      <c r="BQ30" s="70"/>
      <c r="BR30" s="70"/>
      <c r="BS30" s="70"/>
      <c r="BT30" s="70"/>
    </row>
    <row r="31" customFormat="false" ht="15" hidden="false" customHeight="true" outlineLevel="0" collapsed="false">
      <c r="A31" s="59" t="n">
        <v>25</v>
      </c>
      <c r="B31" s="60" t="str">
        <f aca="false">INDEX(T,18+INT(MOD(R31-1,7)),lang)</f>
        <v>Fri</v>
      </c>
      <c r="C31" s="61" t="str">
        <f aca="false">INDEX(T,24+MONTH(R31),lang) &amp; " " &amp; DAY(R31) &amp; ", " &amp; YEAR(R31)</f>
        <v>Jun 22, 2018</v>
      </c>
      <c r="D31" s="62" t="n">
        <f aca="false">TIME(HOUR(R31),MINUTE(R31),0)</f>
        <v>0.333333333333333</v>
      </c>
      <c r="E31" s="63" t="str">
        <f aca="false">AB32</f>
        <v>Brasil</v>
      </c>
      <c r="F31" s="64" t="n">
        <v>2</v>
      </c>
      <c r="G31" s="65" t="n">
        <v>0</v>
      </c>
      <c r="H31" s="66" t="str">
        <f aca="false">AB34</f>
        <v>Costa Rica</v>
      </c>
      <c r="R31" s="40" t="n">
        <f aca="false">DATE(2018,6,22)+TIME(1,0,0)+gmt_delta</f>
        <v>43273.3333333333</v>
      </c>
      <c r="S31" s="41" t="str">
        <f aca="false">IF(OR(F31="",G31=""),"",IF(F31&gt;G31,E31&amp;"_win",IF(F31&lt;G31,E31&amp;"_lose",E31&amp;"_draw")))</f>
        <v>Brasil_win</v>
      </c>
      <c r="T31" s="41" t="str">
        <f aca="false">IF(S31="","",IF(F31&lt;G31,H31&amp;"_win",IF(F31&gt;G31,H31&amp;"_lose",H31&amp;"_draw")))</f>
        <v>Costa Rica_lose</v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1</v>
      </c>
      <c r="AH31" s="40" t="n">
        <f aca="false">MIN(AH26:AH29)</f>
        <v>19802</v>
      </c>
      <c r="AI31" s="40" t="n">
        <f aca="false">MIN(AI26:AI29)</f>
        <v>-2</v>
      </c>
      <c r="AY31" s="78"/>
      <c r="AZ31" s="82" t="str">
        <f aca="false">AO21</f>
        <v>Dinamarca</v>
      </c>
      <c r="BA31" s="83"/>
      <c r="BB31" s="84"/>
      <c r="BC31" s="70"/>
      <c r="BD31" s="70"/>
      <c r="BE31" s="70"/>
      <c r="BF31" s="70"/>
      <c r="BG31" s="70"/>
      <c r="BH31" s="70"/>
      <c r="BI31" s="90"/>
      <c r="BJ31" s="70"/>
      <c r="BK31" s="70" t="str">
        <f aca="false">INDEX(T,24+MONTH(R77),lang) &amp; " " &amp; DAY(R77) &amp; ", " &amp; YEAR(R77) &amp; "   " &amp; TEXT(TIME(HOUR(R77),MINUTE(R77),0),"hh:mm")</f>
        <v>Jul 11, 2018   14:00</v>
      </c>
      <c r="BL31" s="70"/>
      <c r="BM31" s="70"/>
      <c r="BN31" s="86"/>
      <c r="BO31" s="90"/>
      <c r="BP31" s="95"/>
      <c r="BQ31" s="98" t="str">
        <f aca="false">INDEX(T,7,lang)</f>
        <v>Tercer puesto</v>
      </c>
      <c r="BR31" s="98"/>
      <c r="BS31" s="98"/>
      <c r="BT31" s="98"/>
    </row>
    <row r="32" customFormat="false" ht="15" hidden="false" customHeight="true" outlineLevel="0" collapsed="false">
      <c r="A32" s="59" t="n">
        <v>26</v>
      </c>
      <c r="B32" s="60" t="str">
        <f aca="false">INDEX(T,18+INT(MOD(R32-1,7)),lang)</f>
        <v>Fri</v>
      </c>
      <c r="C32" s="61" t="str">
        <f aca="false">INDEX(T,24+MONTH(R32),lang) &amp; " " &amp; DAY(R32) &amp; ", " &amp; YEAR(R32)</f>
        <v>Jun 22, 2018</v>
      </c>
      <c r="D32" s="62" t="n">
        <f aca="false">TIME(HOUR(R32),MINUTE(R32),0)</f>
        <v>0.583333333333333</v>
      </c>
      <c r="E32" s="63" t="str">
        <f aca="false">AB35</f>
        <v>Serbia</v>
      </c>
      <c r="F32" s="64" t="n">
        <v>1</v>
      </c>
      <c r="G32" s="99" t="n">
        <v>2</v>
      </c>
      <c r="H32" s="66" t="str">
        <f aca="false">AB33</f>
        <v>Suiza</v>
      </c>
      <c r="J32" s="67" t="str">
        <f aca="false">INDEX(T,9,lang) &amp; " " &amp; "E"</f>
        <v>Grupo E</v>
      </c>
      <c r="K32" s="68" t="str">
        <f aca="false">INDEX(T,10,lang)</f>
        <v>J</v>
      </c>
      <c r="L32" s="68" t="str">
        <f aca="false">INDEX(T,11,lang)</f>
        <v>G</v>
      </c>
      <c r="M32" s="68" t="str">
        <f aca="false">INDEX(T,12,lang)</f>
        <v>DRAW</v>
      </c>
      <c r="N32" s="68" t="str">
        <f aca="false">INDEX(T,13,lang)</f>
        <v>P</v>
      </c>
      <c r="O32" s="68" t="str">
        <f aca="false">INDEX(T,14,lang)</f>
        <v>GF - GC</v>
      </c>
      <c r="P32" s="69" t="str">
        <f aca="false">INDEX(T,15,lang)</f>
        <v>PTS</v>
      </c>
      <c r="R32" s="40" t="n">
        <f aca="false">DATE(2018,6,22)+TIME(7,0,0)+gmt_delta</f>
        <v>43273.5833333333</v>
      </c>
      <c r="S32" s="41" t="str">
        <f aca="false">IF(OR(F32="",G32=""),"",IF(F32&gt;G32,E32&amp;"_win",IF(F32&lt;G32,E32&amp;"_lose",E32&amp;"_draw")))</f>
        <v>Serbia_lose</v>
      </c>
      <c r="T32" s="41" t="str">
        <f aca="false">IF(S32="","",IF(F32&lt;G32,H32&amp;"_win",IF(F32&gt;G32,H32&amp;"_lose",H32&amp;"_draw")))</f>
        <v>Suiza_win</v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-1</v>
      </c>
      <c r="AA32" s="40" t="n">
        <f aca="false">COUNTIF(AN32:AN35,CONCATENATE("&gt;=",AN32))</f>
        <v>1</v>
      </c>
      <c r="AB32" s="42" t="str">
        <f aca="false">VLOOKUP("Brazil",T,lang,0)</f>
        <v>Brasil</v>
      </c>
      <c r="AC32" s="40" t="n">
        <f aca="false">COUNTIF($S$7:$T$54,"=" &amp; AB32 &amp; "_win")</f>
        <v>1</v>
      </c>
      <c r="AD32" s="40" t="n">
        <f aca="false">COUNTIF($S$7:$T$54,"=" &amp; AB32 &amp; "_draw")</f>
        <v>1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3</v>
      </c>
      <c r="AG32" s="40" t="n">
        <f aca="false">SUMIF($E$7:$E$54,$AB32,$G$7:$G$54) + SUMIF($H$7:$H$54,$AB32,$F$7:$F$54)</f>
        <v>1</v>
      </c>
      <c r="AH32" s="40" t="n">
        <f aca="false">(AF32-AG32)*100+AK32*10000+AF32</f>
        <v>40203</v>
      </c>
      <c r="AI32" s="40" t="n">
        <f aca="false">AF32-AG32</f>
        <v>2</v>
      </c>
      <c r="AJ32" s="40" t="n">
        <f aca="false">(AI32-AI37)/AI36</f>
        <v>0.833333333333333</v>
      </c>
      <c r="AK32" s="40" t="n">
        <f aca="false">AC32*3+AD32</f>
        <v>4</v>
      </c>
      <c r="AL32" s="40" t="n">
        <f aca="false">AP32/AP36*1000+AQ32/AQ36*100+AT32/AT36*10+AR32/AR36</f>
        <v>0</v>
      </c>
      <c r="AM32" s="40" t="n">
        <f aca="false">VLOOKUP(AB32,db_fifarank,2,0)/2000000</f>
        <v>0.0007415</v>
      </c>
      <c r="AN32" s="42" t="n">
        <f aca="false">1000*AK32/AK36+100*AJ32+10*AF32/AF36+1*AL32/AL36+AM32</f>
        <v>890.834074833333</v>
      </c>
      <c r="AO32" s="43" t="str">
        <f aca="false">IF(SUM(AC32:AE35)=12,J33,INDEX(T,78,lang))</f>
        <v>1E</v>
      </c>
      <c r="AP32" s="44" t="n">
        <f aca="false">SUMPRODUCT(($S$7:$S$54=AB32&amp;"_win")*($U$7:$U$54))+SUMPRODUCT(($T$7:$T$54=AB32&amp;"_win")*($U$7:$U$54))</f>
        <v>0</v>
      </c>
      <c r="AQ32" s="44" t="n">
        <f aca="false">SUMPRODUCT(($S$7:$S$54=AB32&amp;"_draw")*($U$7:$U$54))+SUMPRODUCT(($T$7:$T$54=AB32&amp;"_draw")*($U$7:$U$54))</f>
        <v>0</v>
      </c>
      <c r="AR32" s="44" t="n">
        <f aca="false">SUMPRODUCT(($E$7:$E$54=AB32)*($U$7:$U$54)*($F$7:$F$54))+SUMPRODUCT(($H$7:$H$54=AB32)*($U$7:$U$54)*($G$7:$G$54))</f>
        <v>0</v>
      </c>
      <c r="AS32" s="44" t="n">
        <f aca="false">SUMPRODUCT(($E$7:$E$54=AB32)*($U$7:$U$54)*($G$7:$G$54))+SUMPRODUCT(($H$7:$H$54=AB32)*($U$7:$U$54)*($F$7:$F$54))</f>
        <v>0</v>
      </c>
      <c r="AT32" s="44" t="n">
        <f aca="false">AR32-AS32</f>
        <v>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90"/>
      <c r="BJ32" s="70"/>
      <c r="BK32" s="78" t="n">
        <v>62</v>
      </c>
      <c r="BL32" s="79" t="str">
        <f aca="false">T71</f>
        <v>W59</v>
      </c>
      <c r="BM32" s="80"/>
      <c r="BN32" s="81"/>
      <c r="BO32" s="94"/>
      <c r="BP32" s="95"/>
      <c r="BQ32" s="98"/>
      <c r="BR32" s="98"/>
      <c r="BS32" s="98"/>
      <c r="BT32" s="98"/>
    </row>
    <row r="33" customFormat="false" ht="15" hidden="false" customHeight="true" outlineLevel="0" collapsed="false">
      <c r="A33" s="59" t="n">
        <v>27</v>
      </c>
      <c r="B33" s="60" t="str">
        <f aca="false">INDEX(T,18+INT(MOD(R33-1,7)),lang)</f>
        <v>Sat</v>
      </c>
      <c r="C33" s="61" t="str">
        <f aca="false">INDEX(T,24+MONTH(R33),lang) &amp; " " &amp; DAY(R33) &amp; ", " &amp; YEAR(R33)</f>
        <v>Jun 23, 2018</v>
      </c>
      <c r="D33" s="62" t="n">
        <f aca="false">TIME(HOUR(R33),MINUTE(R33),0)</f>
        <v>0.583333333333333</v>
      </c>
      <c r="E33" s="63" t="str">
        <f aca="false">AB38</f>
        <v>Alemania</v>
      </c>
      <c r="F33" s="64" t="n">
        <v>2</v>
      </c>
      <c r="G33" s="65" t="n">
        <v>1</v>
      </c>
      <c r="H33" s="66" t="str">
        <f aca="false">AB40</f>
        <v>Suecia</v>
      </c>
      <c r="J33" s="71" t="str">
        <f aca="false">VLOOKUP(1,AA32:AK35,2,0)</f>
        <v>Brasil</v>
      </c>
      <c r="K33" s="72" t="n">
        <f aca="false">L33+M33+N33</f>
        <v>2</v>
      </c>
      <c r="L33" s="72" t="n">
        <f aca="false">VLOOKUP(1,AA32:AK35,3,0)</f>
        <v>1</v>
      </c>
      <c r="M33" s="72" t="n">
        <f aca="false">VLOOKUP(1,AA32:AK35,4,0)</f>
        <v>1</v>
      </c>
      <c r="N33" s="72" t="n">
        <f aca="false">VLOOKUP(1,AA32:AK35,5,0)</f>
        <v>0</v>
      </c>
      <c r="O33" s="72" t="str">
        <f aca="false">VLOOKUP(1,AA32:AK35,6,0) &amp; " - " &amp; VLOOKUP(1,AA32:AK35,7,0)</f>
        <v>3 - 1</v>
      </c>
      <c r="P33" s="73" t="n">
        <f aca="false">L33*3+M33</f>
        <v>4</v>
      </c>
      <c r="R33" s="40" t="n">
        <f aca="false">DATE(2018,6,23)+TIME(7,0,0)+gmt_delta</f>
        <v>43274.5833333333</v>
      </c>
      <c r="S33" s="41" t="str">
        <f aca="false">IF(OR(F33="",G33=""),"",IF(F33&gt;G33,E33&amp;"_win",IF(F33&lt;G33,E33&amp;"_lose",E33&amp;"_draw")))</f>
        <v>Alemania_win</v>
      </c>
      <c r="T33" s="41" t="str">
        <f aca="false">IF(S33="","",IF(F33&lt;G33,H33&amp;"_win",IF(F33&gt;G33,H33&amp;"_lose",H33&amp;"_draw")))</f>
        <v>Suecia_lose</v>
      </c>
      <c r="U33" s="42" t="n">
        <f aca="false">IF(S33="",0,IF(VLOOKUP(E33,$AB$8:$AK$53,7,0)=VLOOKUP(H33,$AB$8:$AK$53,7,0),1,0))</f>
        <v>1</v>
      </c>
      <c r="V33" s="40" t="n">
        <f aca="false">U33*F33</f>
        <v>2</v>
      </c>
      <c r="W33" s="40" t="n">
        <f aca="false">U33*G33</f>
        <v>1</v>
      </c>
      <c r="X33" s="40" t="n">
        <f aca="false">IF(OR(E33=my_team,H33=my_team),1,0)</f>
        <v>1</v>
      </c>
      <c r="Y33" s="40" t="n">
        <f aca="false">IF(OR(F33="",G33=""),"",IF(F33&gt;G33,1,IF(F33&lt;G33,-1,0)))</f>
        <v>1</v>
      </c>
      <c r="AA33" s="40" t="n">
        <f aca="false">COUNTIF(AN32:AN35,CONCATENATE("&gt;=",AN33))</f>
        <v>2</v>
      </c>
      <c r="AB33" s="42" t="str">
        <f aca="false">VLOOKUP("Switzerland",T,lang,0)</f>
        <v>Suiza</v>
      </c>
      <c r="AC33" s="40" t="n">
        <f aca="false">COUNTIF($S$7:$T$54,"=" &amp; AB33 &amp; "_win")</f>
        <v>1</v>
      </c>
      <c r="AD33" s="40" t="n">
        <f aca="false">COUNTIF($S$7:$T$54,"=" &amp; AB33 &amp; "_draw")</f>
        <v>1</v>
      </c>
      <c r="AE33" s="40" t="n">
        <f aca="false">COUNTIF($S$7:$T$54,"=" &amp; AB33 &amp; "_lose")</f>
        <v>0</v>
      </c>
      <c r="AF33" s="40" t="n">
        <f aca="false">SUMIF($E$7:$E$54,$AB33,$F$7:$F$54) + SUMIF($H$7:$H$54,$AB33,$G$7:$G$54)</f>
        <v>3</v>
      </c>
      <c r="AG33" s="40" t="n">
        <f aca="false">SUMIF($E$7:$E$54,$AB33,$G$7:$G$54) + SUMIF($H$7:$H$54,$AB33,$F$7:$F$54)</f>
        <v>2</v>
      </c>
      <c r="AH33" s="40" t="n">
        <f aca="false">(AF33-AG33)*100+AK33*10000+AF33</f>
        <v>40103</v>
      </c>
      <c r="AI33" s="40" t="n">
        <f aca="false">AF33-AG33</f>
        <v>1</v>
      </c>
      <c r="AJ33" s="40" t="n">
        <f aca="false">(AI33-AI37)/AI36</f>
        <v>0.666666666666667</v>
      </c>
      <c r="AK33" s="40" t="n">
        <f aca="false">AC33*3+AD33</f>
        <v>4</v>
      </c>
      <c r="AL33" s="40" t="n">
        <f aca="false">AP33/AP36*1000+AQ33/AQ36*100+AT33/AT36*10+AR33/AR36</f>
        <v>0</v>
      </c>
      <c r="AM33" s="40" t="n">
        <f aca="false">VLOOKUP(AB33,db_fifarank,2,0)/2000000</f>
        <v>0.000595</v>
      </c>
      <c r="AN33" s="42" t="n">
        <f aca="false">1000*AK33/AK36+100*AJ33+10*AF33/AF36+1*AL33/AL36+AM33</f>
        <v>874.167261666667</v>
      </c>
      <c r="AO33" s="43" t="str">
        <f aca="false">IF(SUM(AC32:AE35)=12,J34,INDEX(T,79,lang))</f>
        <v>2E</v>
      </c>
      <c r="AP33" s="44" t="n">
        <f aca="false">SUMPRODUCT(($S$7:$S$54=AB33&amp;"_win")*($U$7:$U$54))+SUMPRODUCT(($T$7:$T$54=AB33&amp;"_win")*($U$7:$U$54))</f>
        <v>0</v>
      </c>
      <c r="AQ33" s="44" t="n">
        <f aca="false">SUMPRODUCT(($S$7:$S$54=AB33&amp;"_draw")*($U$7:$U$54))+SUMPRODUCT(($T$7:$T$54=AB33&amp;"_draw")*($U$7:$U$54))</f>
        <v>0</v>
      </c>
      <c r="AR33" s="44" t="n">
        <f aca="false">SUMPRODUCT(($E$7:$E$54=AB33)*($U$7:$U$54)*($F$7:$F$54))+SUMPRODUCT(($H$7:$H$54=AB33)*($U$7:$U$54)*($G$7:$G$54))</f>
        <v>0</v>
      </c>
      <c r="AS33" s="44" t="n">
        <f aca="false">SUMPRODUCT(($E$7:$E$54=AB33)*($U$7:$U$54)*($G$7:$G$54))+SUMPRODUCT(($H$7:$H$54=AB33)*($U$7:$U$54)*($F$7:$F$54))</f>
        <v>0</v>
      </c>
      <c r="AT33" s="44" t="n">
        <f aca="false">AR33-AS33</f>
        <v>0</v>
      </c>
      <c r="AY33" s="70" t="str">
        <f aca="false">INDEX(T,24+MONTH(R64),lang) &amp; " " &amp; DAY(R64) &amp; ", " &amp; YEAR(R64) &amp; "   " &amp; TEXT(TIME(HOUR(R64),MINUTE(R64),0),"hh:mm")</f>
        <v>Jul 3, 2018   10:00</v>
      </c>
      <c r="AZ33" s="70"/>
      <c r="BA33" s="70"/>
      <c r="BB33" s="86"/>
      <c r="BC33" s="70"/>
      <c r="BD33" s="70"/>
      <c r="BE33" s="70"/>
      <c r="BF33" s="70"/>
      <c r="BG33" s="70"/>
      <c r="BH33" s="70"/>
      <c r="BI33" s="90"/>
      <c r="BJ33" s="93"/>
      <c r="BK33" s="78"/>
      <c r="BL33" s="82" t="str">
        <f aca="false">T72</f>
        <v>W60</v>
      </c>
      <c r="BM33" s="83"/>
      <c r="BN33" s="84"/>
      <c r="BO33" s="95"/>
      <c r="BP33" s="95"/>
      <c r="BQ33" s="70"/>
      <c r="BR33" s="70"/>
      <c r="BS33" s="70"/>
      <c r="BT33" s="70"/>
    </row>
    <row r="34" customFormat="false" ht="15" hidden="false" customHeight="true" outlineLevel="0" collapsed="false">
      <c r="A34" s="59" t="n">
        <v>28</v>
      </c>
      <c r="B34" s="60" t="str">
        <f aca="false">INDEX(T,18+INT(MOD(R34-1,7)),lang)</f>
        <v>Sat</v>
      </c>
      <c r="C34" s="61" t="str">
        <f aca="false">INDEX(T,24+MONTH(R34),lang) &amp; " " &amp; DAY(R34) &amp; ", " &amp; YEAR(R34)</f>
        <v>Jun 23, 2018</v>
      </c>
      <c r="D34" s="62" t="n">
        <f aca="false">TIME(HOUR(R34),MINUTE(R34),0)</f>
        <v>0.458333333333333</v>
      </c>
      <c r="E34" s="63" t="str">
        <f aca="false">AB41</f>
        <v>República de Corea</v>
      </c>
      <c r="F34" s="64" t="n">
        <v>1</v>
      </c>
      <c r="G34" s="65" t="n">
        <v>2</v>
      </c>
      <c r="H34" s="66" t="str">
        <f aca="false">AB39</f>
        <v>México</v>
      </c>
      <c r="J34" s="75" t="str">
        <f aca="false">VLOOKUP(2,AA32:AK35,2,0)</f>
        <v>Suiza</v>
      </c>
      <c r="K34" s="76" t="n">
        <f aca="false">L34+M34+N34</f>
        <v>2</v>
      </c>
      <c r="L34" s="76" t="n">
        <f aca="false">VLOOKUP(2,AA32:AK35,3,0)</f>
        <v>1</v>
      </c>
      <c r="M34" s="76" t="n">
        <f aca="false">VLOOKUP(2,AA32:AK35,4,0)</f>
        <v>1</v>
      </c>
      <c r="N34" s="76" t="n">
        <f aca="false">VLOOKUP(2,AA32:AK35,5,0)</f>
        <v>0</v>
      </c>
      <c r="O34" s="76" t="str">
        <f aca="false">VLOOKUP(2,AA32:AK35,6,0) &amp; " - " &amp; VLOOKUP(2,AA32:AK35,7,0)</f>
        <v>3 - 2</v>
      </c>
      <c r="P34" s="77" t="n">
        <f aca="false">L34*3+M34</f>
        <v>4</v>
      </c>
      <c r="R34" s="40" t="n">
        <f aca="false">DATE(2018,6,23)+TIME(4,0,0)+gmt_delta</f>
        <v>43274.4583333333</v>
      </c>
      <c r="S34" s="41" t="str">
        <f aca="false">IF(OR(F34="",G34=""),"",IF(F34&gt;G34,E34&amp;"_win",IF(F34&lt;G34,E34&amp;"_lose",E34&amp;"_draw")))</f>
        <v>República de Corea_lose</v>
      </c>
      <c r="T34" s="41" t="str">
        <f aca="false">IF(S34="","",IF(F34&lt;G34,H34&amp;"_win",IF(F34&gt;G34,H34&amp;"_lose",H34&amp;"_draw")))</f>
        <v>México_win</v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n">
        <f aca="false">IF(OR(F34="",G34=""),"",IF(F34&gt;G34,1,IF(F34&lt;G34,-1,0)))</f>
        <v>-1</v>
      </c>
      <c r="AA34" s="40" t="n">
        <f aca="false">COUNTIF(AN32:AN35,CONCATENATE("&gt;=",AN34))</f>
        <v>4</v>
      </c>
      <c r="AB34" s="42" t="str">
        <f aca="false">VLOOKUP("Costa Rica",T,lang,0)</f>
        <v>Costa Rica</v>
      </c>
      <c r="AC34" s="40" t="n">
        <f aca="false">COUNTIF($S$7:$T$54,"=" &amp; AB34 &amp; "_win")</f>
        <v>0</v>
      </c>
      <c r="AD34" s="40" t="n">
        <f aca="false">COUNTIF($S$7:$T$54,"=" &amp; AB34 &amp; "_draw")</f>
        <v>0</v>
      </c>
      <c r="AE34" s="40" t="n">
        <f aca="false">COUNTIF($S$7:$T$54,"=" &amp; AB34 &amp; "_lose")</f>
        <v>2</v>
      </c>
      <c r="AF34" s="40" t="n">
        <f aca="false">SUMIF($E$7:$E$54,$AB34,$F$7:$F$54) + SUMIF($H$7:$H$54,$AB34,$G$7:$G$54)</f>
        <v>0</v>
      </c>
      <c r="AG34" s="40" t="n">
        <f aca="false">SUMIF($E$7:$E$54,$AB34,$G$7:$G$54) + SUMIF($H$7:$H$54,$AB34,$F$7:$F$54)</f>
        <v>3</v>
      </c>
      <c r="AH34" s="40" t="n">
        <f aca="false">(AF34-AG34)*100+AK34*10000+AF34</f>
        <v>-300</v>
      </c>
      <c r="AI34" s="40" t="n">
        <f aca="false">AF34-AG34</f>
        <v>-3</v>
      </c>
      <c r="AJ34" s="40" t="n">
        <f aca="false">(AI34-AI37)/AI36</f>
        <v>0</v>
      </c>
      <c r="AK34" s="40" t="n">
        <f aca="false">AC34*3+AD34</f>
        <v>0</v>
      </c>
      <c r="AL34" s="40" t="n">
        <f aca="false">AP34/AP36*1000+AQ34/AQ36*100+AT34/AT36*10+AR34/AR36</f>
        <v>0</v>
      </c>
      <c r="AM34" s="40" t="n">
        <f aca="false">VLOOKUP(AB34,db_fifarank,2,0)/2000000</f>
        <v>0.000425</v>
      </c>
      <c r="AN34" s="42" t="n">
        <f aca="false">1000*AK34/AK36+100*AJ34+10*AF34/AF36+1*AL34/AL36+AM34</f>
        <v>0.000425</v>
      </c>
      <c r="AP34" s="44" t="n">
        <f aca="false">SUMPRODUCT(($S$7:$S$54=AB34&amp;"_win")*($U$7:$U$54))+SUMPRODUCT(($T$7:$T$54=AB34&amp;"_win")*($U$7:$U$54))</f>
        <v>0</v>
      </c>
      <c r="AQ34" s="44" t="n">
        <f aca="false">SUMPRODUCT(($S$7:$S$54=AB34&amp;"_draw")*($U$7:$U$54))+SUMPRODUCT(($T$7:$T$54=AB34&amp;"_draw")*($U$7:$U$54))</f>
        <v>0</v>
      </c>
      <c r="AR34" s="44" t="n">
        <f aca="false">SUMPRODUCT(($E$7:$E$54=AB34)*($U$7:$U$54)*($F$7:$F$54))+SUMPRODUCT(($H$7:$H$54=AB34)*($U$7:$U$54)*($G$7:$G$54))</f>
        <v>0</v>
      </c>
      <c r="AS34" s="44" t="n">
        <f aca="false">SUMPRODUCT(($E$7:$E$54=AB34)*($U$7:$U$54)*($G$7:$G$54))+SUMPRODUCT(($H$7:$H$54=AB34)*($U$7:$U$54)*($F$7:$F$54))</f>
        <v>0</v>
      </c>
      <c r="AT34" s="44" t="n">
        <f aca="false">AR34-AS34</f>
        <v>0</v>
      </c>
      <c r="AY34" s="78" t="n">
        <v>55</v>
      </c>
      <c r="AZ34" s="79" t="str">
        <f aca="false">AO38</f>
        <v>1F</v>
      </c>
      <c r="BA34" s="80"/>
      <c r="BB34" s="81"/>
      <c r="BC34" s="70"/>
      <c r="BD34" s="70"/>
      <c r="BE34" s="70"/>
      <c r="BF34" s="70"/>
      <c r="BG34" s="70"/>
      <c r="BH34" s="70"/>
      <c r="BI34" s="90"/>
      <c r="BJ34" s="70"/>
      <c r="BK34" s="70"/>
      <c r="BL34" s="70"/>
      <c r="BM34" s="70"/>
      <c r="BN34" s="70"/>
      <c r="BO34" s="70"/>
      <c r="BP34" s="70"/>
      <c r="BQ34" s="70" t="str">
        <f aca="false">INDEX(T,24+MONTH(R81),lang) &amp; " " &amp; DAY(R81) &amp; ", " &amp; YEAR(R81) &amp; "   " &amp; TEXT(TIME(HOUR(R81),MINUTE(R81),0),"hh:mm")</f>
        <v>Jul 14, 2018   10:00</v>
      </c>
      <c r="BR34" s="70"/>
      <c r="BS34" s="70"/>
      <c r="BT34" s="86"/>
    </row>
    <row r="35" customFormat="false" ht="15" hidden="false" customHeight="true" outlineLevel="0" collapsed="false">
      <c r="A35" s="59" t="n">
        <v>29</v>
      </c>
      <c r="B35" s="60" t="str">
        <f aca="false">INDEX(T,18+INT(MOD(R35-1,7)),lang)</f>
        <v>Sat</v>
      </c>
      <c r="C35" s="61" t="str">
        <f aca="false">INDEX(T,24+MONTH(R35),lang) &amp; " " &amp; DAY(R35) &amp; ", " &amp; YEAR(R35)</f>
        <v>Jun 23, 2018</v>
      </c>
      <c r="D35" s="62" t="n">
        <f aca="false">TIME(HOUR(R35),MINUTE(R35),0)</f>
        <v>0.333333333333333</v>
      </c>
      <c r="E35" s="63" t="str">
        <f aca="false">AB44</f>
        <v>Bélgica</v>
      </c>
      <c r="F35" s="64" t="n">
        <v>5</v>
      </c>
      <c r="G35" s="65" t="n">
        <v>2</v>
      </c>
      <c r="H35" s="66" t="str">
        <f aca="false">AB46</f>
        <v>Túnez</v>
      </c>
      <c r="J35" s="75" t="str">
        <f aca="false">VLOOKUP(3,AA32:AK35,2,0)</f>
        <v>Serbia</v>
      </c>
      <c r="K35" s="76" t="n">
        <f aca="false">L35+M35+N35</f>
        <v>2</v>
      </c>
      <c r="L35" s="76" t="n">
        <f aca="false">VLOOKUP(3,AA32:AK35,3,0)</f>
        <v>1</v>
      </c>
      <c r="M35" s="76" t="n">
        <f aca="false">VLOOKUP(3,AA32:AK35,4,0)</f>
        <v>0</v>
      </c>
      <c r="N35" s="76" t="n">
        <f aca="false">VLOOKUP(3,AA32:AK35,5,0)</f>
        <v>1</v>
      </c>
      <c r="O35" s="76" t="str">
        <f aca="false">VLOOKUP(3,AA32:AK35,6,0) &amp; " - " &amp; VLOOKUP(3,AA32:AK35,7,0)</f>
        <v>2 - 2</v>
      </c>
      <c r="P35" s="77" t="n">
        <f aca="false">L35*3+M35</f>
        <v>3</v>
      </c>
      <c r="R35" s="40" t="n">
        <f aca="false">DATE(2018,6,23)+TIME(1,0,0)+gmt_delta</f>
        <v>43274.3333333333</v>
      </c>
      <c r="S35" s="41" t="str">
        <f aca="false">IF(OR(F35="",G35=""),"",IF(F35&gt;G35,E35&amp;"_win",IF(F35&lt;G35,E35&amp;"_lose",E35&amp;"_draw")))</f>
        <v>Bélgica_win</v>
      </c>
      <c r="T35" s="41" t="str">
        <f aca="false">IF(S35="","",IF(F35&lt;G35,H35&amp;"_win",IF(F35&gt;G35,H35&amp;"_lose",H35&amp;"_draw")))</f>
        <v>Túnez_lose</v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n">
        <f aca="false">IF(OR(F35="",G35=""),"",IF(F35&gt;G35,1,IF(F35&lt;G35,-1,0)))</f>
        <v>1</v>
      </c>
      <c r="AA35" s="40" t="n">
        <f aca="false">COUNTIF(AN32:AN35,CONCATENATE("&gt;=",AN35))</f>
        <v>3</v>
      </c>
      <c r="AB35" s="42" t="str">
        <f aca="false">VLOOKUP("Serbia",T,lang,0)</f>
        <v>Serbia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1</v>
      </c>
      <c r="AF35" s="40" t="n">
        <f aca="false">SUMIF($E$7:$E$54,$AB35,$F$7:$F$54) + SUMIF($H$7:$H$54,$AB35,$G$7:$G$54)</f>
        <v>2</v>
      </c>
      <c r="AG35" s="40" t="n">
        <f aca="false">SUMIF($E$7:$E$54,$AB35,$G$7:$G$54) + SUMIF($H$7:$H$54,$AB35,$F$7:$F$54)</f>
        <v>2</v>
      </c>
      <c r="AH35" s="40" t="n">
        <f aca="false">(AF35-AG35)*100+AK35*10000+AF35</f>
        <v>30002</v>
      </c>
      <c r="AI35" s="40" t="n">
        <f aca="false">AF35-AG35</f>
        <v>0</v>
      </c>
      <c r="AJ35" s="40" t="n">
        <f aca="false">(AI35-AI37)/AI36</f>
        <v>0.5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0.000378</v>
      </c>
      <c r="AN35" s="42" t="n">
        <f aca="false">1000*AK35/AK36+100*AJ35+10*AF35/AF36+1*AL35/AL36+AM35</f>
        <v>655.000378</v>
      </c>
      <c r="AP35" s="44" t="n">
        <f aca="false">SUMPRODUCT(($S$7:$S$54=AB35&amp;"_win")*($U$7:$U$54))+SUMPRODUCT(($T$7:$T$54=AB35&amp;"_win")*($U$7:$U$54))</f>
        <v>0</v>
      </c>
      <c r="AQ35" s="44" t="n">
        <f aca="false">SUMPRODUCT(($S$7:$S$54=AB35&amp;"_draw")*($U$7:$U$54))+SUMPRODUCT(($T$7:$T$54=AB35&amp;"_draw")*($U$7:$U$54))</f>
        <v>0</v>
      </c>
      <c r="AR35" s="44" t="n">
        <f aca="false">SUMPRODUCT(($E$7:$E$54=AB35)*($U$7:$U$54)*($F$7:$F$54))+SUMPRODUCT(($H$7:$H$54=AB35)*($U$7:$U$54)*($G$7:$G$54))</f>
        <v>0</v>
      </c>
      <c r="AS35" s="44" t="n">
        <f aca="false">SUMPRODUCT(($E$7:$E$54=AB35)*($U$7:$U$54)*($G$7:$G$54))+SUMPRODUCT(($H$7:$H$54=AB35)*($U$7:$U$54)*($F$7:$F$54))</f>
        <v>0</v>
      </c>
      <c r="AT35" s="44" t="n">
        <f aca="false">AR35-AS35</f>
        <v>0</v>
      </c>
      <c r="AY35" s="78"/>
      <c r="AZ35" s="82" t="str">
        <f aca="false">AO33</f>
        <v>2E</v>
      </c>
      <c r="BA35" s="83"/>
      <c r="BB35" s="84"/>
      <c r="BC35" s="85"/>
      <c r="BD35" s="70"/>
      <c r="BE35" s="70" t="str">
        <f aca="false">INDEX(T,24+MONTH(R72),lang) &amp; " " &amp; DAY(R72) &amp; ", " &amp; YEAR(R72) &amp; "   " &amp; TEXT(TIME(HOUR(R72),MINUTE(R72),0),"hh:mm")</f>
        <v>Jul 7, 2018   14:00</v>
      </c>
      <c r="BF35" s="70"/>
      <c r="BG35" s="70"/>
      <c r="BH35" s="86"/>
      <c r="BI35" s="90"/>
      <c r="BJ35" s="70"/>
      <c r="BK35" s="70"/>
      <c r="BL35" s="70"/>
      <c r="BM35" s="70"/>
      <c r="BN35" s="70"/>
      <c r="BO35" s="70"/>
      <c r="BP35" s="70"/>
      <c r="BQ35" s="78" t="n">
        <v>63</v>
      </c>
      <c r="BR35" s="79" t="str">
        <f aca="false">Z76</f>
        <v>L61</v>
      </c>
      <c r="BS35" s="80"/>
      <c r="BT35" s="81"/>
    </row>
    <row r="36" customFormat="false" ht="15" hidden="false" customHeight="true" outlineLevel="0" collapsed="false">
      <c r="A36" s="59" t="n">
        <v>30</v>
      </c>
      <c r="B36" s="60" t="str">
        <f aca="false">INDEX(T,18+INT(MOD(R36-1,7)),lang)</f>
        <v>Sun</v>
      </c>
      <c r="C36" s="61" t="str">
        <f aca="false">INDEX(T,24+MONTH(R36),lang) &amp; " " &amp; DAY(R36) &amp; ", " &amp; YEAR(R36)</f>
        <v>Jun 24, 2018</v>
      </c>
      <c r="D36" s="62" t="n">
        <f aca="false">TIME(HOUR(R36),MINUTE(R36),0)</f>
        <v>0.333333333333333</v>
      </c>
      <c r="E36" s="63" t="str">
        <f aca="false">AB47</f>
        <v>Inglaterra</v>
      </c>
      <c r="F36" s="64" t="n">
        <v>6</v>
      </c>
      <c r="G36" s="65" t="n">
        <v>1</v>
      </c>
      <c r="H36" s="66" t="str">
        <f aca="false">AB45</f>
        <v>Panamá</v>
      </c>
      <c r="J36" s="87" t="str">
        <f aca="false">VLOOKUP(4,AA32:AK35,2,0)</f>
        <v>Costa Rica</v>
      </c>
      <c r="K36" s="88" t="n">
        <f aca="false">L36+M36+N36</f>
        <v>2</v>
      </c>
      <c r="L36" s="88" t="n">
        <f aca="false">VLOOKUP(4,AA32:AK35,3,0)</f>
        <v>0</v>
      </c>
      <c r="M36" s="88" t="n">
        <f aca="false">VLOOKUP(4,AA32:AK35,4,0)</f>
        <v>0</v>
      </c>
      <c r="N36" s="88" t="n">
        <f aca="false">VLOOKUP(4,AA32:AK35,5,0)</f>
        <v>2</v>
      </c>
      <c r="O36" s="88" t="str">
        <f aca="false">VLOOKUP(4,AA32:AK35,6,0) &amp; " - " &amp; VLOOKUP(4,AA32:AK35,7,0)</f>
        <v>0 - 3</v>
      </c>
      <c r="P36" s="89" t="n">
        <f aca="false">L36*3+M36</f>
        <v>0</v>
      </c>
      <c r="R36" s="40" t="n">
        <f aca="false">DATE(2018,6,24)+TIME(1,0,0)+gmt_delta</f>
        <v>43275.3333333333</v>
      </c>
      <c r="S36" s="41" t="str">
        <f aca="false">IF(OR(F36="",G36=""),"",IF(F36&gt;G36,E36&amp;"_win",IF(F36&lt;G36,E36&amp;"_lose",E36&amp;"_draw")))</f>
        <v>Inglaterra_win</v>
      </c>
      <c r="T36" s="41" t="str">
        <f aca="false">IF(S36="","",IF(F36&lt;G36,H36&amp;"_win",IF(F36&gt;G36,H36&amp;"_lose",H36&amp;"_draw")))</f>
        <v>Panamá_lose</v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n">
        <f aca="false">IF(OR(F36="",G36=""),"",IF(F36&gt;G36,1,IF(F36&lt;G36,-1,0)))</f>
        <v>1</v>
      </c>
      <c r="AC36" s="40" t="n">
        <f aca="false">MAX(AC32:AC35)-MIN(AC32:AC35)+1</f>
        <v>2</v>
      </c>
      <c r="AD36" s="40" t="n">
        <f aca="false">MAX(AD32:AD35)-MIN(AD32:AD35)+1</f>
        <v>2</v>
      </c>
      <c r="AE36" s="40" t="n">
        <f aca="false">MAX(AE32:AE35)-MIN(AE32:AE35)+1</f>
        <v>3</v>
      </c>
      <c r="AF36" s="40" t="n">
        <f aca="false">MAX(AF32:AF35)-MIN(AF32:AF35)+1</f>
        <v>4</v>
      </c>
      <c r="AG36" s="40" t="n">
        <f aca="false">MAX(AG32:AG35)-MIN(AG32:AG35)+1</f>
        <v>3</v>
      </c>
      <c r="AH36" s="40" t="n">
        <f aca="false">MAX(AH32:AH35)-AH37+1</f>
        <v>40504</v>
      </c>
      <c r="AI36" s="40" t="n">
        <f aca="false">MAX(AI32:AI35)-AI37+1</f>
        <v>6</v>
      </c>
      <c r="AK36" s="40" t="n">
        <f aca="false">MAX(AK32:AK35)-MIN(AK32:AK35)+1</f>
        <v>5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70"/>
      <c r="AZ36" s="70"/>
      <c r="BA36" s="70"/>
      <c r="BB36" s="70"/>
      <c r="BC36" s="90"/>
      <c r="BD36" s="70"/>
      <c r="BE36" s="78" t="n">
        <v>60</v>
      </c>
      <c r="BF36" s="79" t="str">
        <f aca="false">T64</f>
        <v>W55</v>
      </c>
      <c r="BG36" s="80"/>
      <c r="BH36" s="81"/>
      <c r="BI36" s="94"/>
      <c r="BJ36" s="70"/>
      <c r="BK36" s="70"/>
      <c r="BL36" s="70"/>
      <c r="BM36" s="70"/>
      <c r="BN36" s="70"/>
      <c r="BO36" s="70"/>
      <c r="BP36" s="70"/>
      <c r="BQ36" s="78"/>
      <c r="BR36" s="82" t="str">
        <f aca="false">Z77</f>
        <v>L62</v>
      </c>
      <c r="BS36" s="83"/>
      <c r="BT36" s="84"/>
    </row>
    <row r="37" customFormat="false" ht="15" hidden="false" customHeight="true" outlineLevel="0" collapsed="false">
      <c r="A37" s="59" t="n">
        <v>31</v>
      </c>
      <c r="B37" s="60" t="str">
        <f aca="false">INDEX(T,18+INT(MOD(R37-1,7)),lang)</f>
        <v>Sun</v>
      </c>
      <c r="C37" s="61" t="str">
        <f aca="false">INDEX(T,24+MONTH(R37),lang) &amp; " " &amp; DAY(R37) &amp; ", " &amp; YEAR(R37)</f>
        <v>Jun 24, 2018</v>
      </c>
      <c r="D37" s="62" t="n">
        <f aca="false">TIME(HOUR(R37),MINUTE(R37),0)</f>
        <v>0.583333333333333</v>
      </c>
      <c r="E37" s="63" t="str">
        <f aca="false">AB50</f>
        <v>Polonia</v>
      </c>
      <c r="F37" s="64" t="n">
        <v>0</v>
      </c>
      <c r="G37" s="65" t="n">
        <v>3</v>
      </c>
      <c r="H37" s="66" t="str">
        <f aca="false">AB52</f>
        <v>Colombia</v>
      </c>
      <c r="R37" s="40" t="n">
        <f aca="false">DATE(2018,6,24)+TIME(7,0,0)+gmt_delta</f>
        <v>43275.5833333333</v>
      </c>
      <c r="S37" s="41" t="str">
        <f aca="false">IF(OR(F37="",G37=""),"",IF(F37&gt;G37,E37&amp;"_win",IF(F37&lt;G37,E37&amp;"_lose",E37&amp;"_draw")))</f>
        <v>Polonia_lose</v>
      </c>
      <c r="T37" s="41" t="str">
        <f aca="false">IF(S37="","",IF(F37&lt;G37,H37&amp;"_win",IF(F37&gt;G37,H37&amp;"_lose",H37&amp;"_draw")))</f>
        <v>Colombia_win</v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n">
        <f aca="false">IF(OR(F37="",G37=""),"",IF(F37&gt;G37,1,IF(F37&lt;G37,-1,0)))</f>
        <v>-1</v>
      </c>
      <c r="AH37" s="40" t="n">
        <f aca="false">MIN(AH32:AH35)</f>
        <v>-300</v>
      </c>
      <c r="AI37" s="40" t="n">
        <f aca="false">MIN(AI32:AI35)</f>
        <v>-3</v>
      </c>
      <c r="AY37" s="70" t="str">
        <f aca="false">INDEX(T,24+MONTH(R65),lang) &amp; " " &amp; DAY(R65) &amp; ", " &amp; YEAR(R65) &amp; "   " &amp; TEXT(TIME(HOUR(R65),MINUTE(R65),0),"hh:mm")</f>
        <v>Jul 3, 2018   14:00</v>
      </c>
      <c r="AZ37" s="70"/>
      <c r="BA37" s="70"/>
      <c r="BB37" s="86"/>
      <c r="BC37" s="90"/>
      <c r="BD37" s="93"/>
      <c r="BE37" s="78"/>
      <c r="BF37" s="82" t="str">
        <f aca="false">T65</f>
        <v>W56</v>
      </c>
      <c r="BG37" s="83"/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</row>
    <row r="38" customFormat="false" ht="15" hidden="false" customHeight="true" outlineLevel="0" collapsed="false">
      <c r="A38" s="59" t="n">
        <v>32</v>
      </c>
      <c r="B38" s="60" t="str">
        <f aca="false">INDEX(T,18+INT(MOD(R38-1,7)),lang)</f>
        <v>Sun</v>
      </c>
      <c r="C38" s="61" t="str">
        <f aca="false">INDEX(T,24+MONTH(R38),lang) &amp; " " &amp; DAY(R38) &amp; ", " &amp; YEAR(R38)</f>
        <v>Jun 24, 2018</v>
      </c>
      <c r="D38" s="62" t="n">
        <f aca="false">TIME(HOUR(R38),MINUTE(R38),0)</f>
        <v>0.458333333333333</v>
      </c>
      <c r="E38" s="63" t="str">
        <f aca="false">AB53</f>
        <v>Japón</v>
      </c>
      <c r="F38" s="64" t="n">
        <v>2</v>
      </c>
      <c r="G38" s="65" t="n">
        <v>2</v>
      </c>
      <c r="H38" s="66" t="str">
        <f aca="false">AB51</f>
        <v>Senegal</v>
      </c>
      <c r="J38" s="67" t="str">
        <f aca="false">INDEX(T,9,lang) &amp; " " &amp; "F"</f>
        <v>Grupo F</v>
      </c>
      <c r="K38" s="68" t="str">
        <f aca="false">INDEX(T,10,lang)</f>
        <v>J</v>
      </c>
      <c r="L38" s="68" t="str">
        <f aca="false">INDEX(T,11,lang)</f>
        <v>G</v>
      </c>
      <c r="M38" s="68" t="str">
        <f aca="false">INDEX(T,12,lang)</f>
        <v>DRAW</v>
      </c>
      <c r="N38" s="68" t="str">
        <f aca="false">INDEX(T,13,lang)</f>
        <v>P</v>
      </c>
      <c r="O38" s="68" t="str">
        <f aca="false">INDEX(T,14,lang)</f>
        <v>GF - GC</v>
      </c>
      <c r="P38" s="69" t="str">
        <f aca="false">INDEX(T,15,lang)</f>
        <v>PTS</v>
      </c>
      <c r="R38" s="40" t="n">
        <f aca="false">DATE(2018,6,24)+TIME(4,0,0)+gmt_delta</f>
        <v>43275.4583333333</v>
      </c>
      <c r="S38" s="41" t="str">
        <f aca="false">IF(OR(F38="",G38=""),"",IF(F38&gt;G38,E38&amp;"_win",IF(F38&lt;G38,E38&amp;"_lose",E38&amp;"_draw")))</f>
        <v>Japón_draw</v>
      </c>
      <c r="T38" s="41" t="str">
        <f aca="false">IF(S38="","",IF(F38&lt;G38,H38&amp;"_win",IF(F38&gt;G38,H38&amp;"_lose",H38&amp;"_draw")))</f>
        <v>Senegal_draw</v>
      </c>
      <c r="U38" s="42" t="n">
        <f aca="false">IF(S38="",0,IF(VLOOKUP(E38,$AB$8:$AK$53,7,0)=VLOOKUP(H38,$AB$8:$AK$53,7,0),1,0))</f>
        <v>1</v>
      </c>
      <c r="V38" s="40" t="n">
        <f aca="false">U38*F38</f>
        <v>2</v>
      </c>
      <c r="W38" s="40" t="n">
        <f aca="false">U38*G38</f>
        <v>2</v>
      </c>
      <c r="X38" s="40" t="n">
        <f aca="false">IF(OR(E38=my_team,H38=my_team),1,0)</f>
        <v>0</v>
      </c>
      <c r="Y38" s="40" t="n">
        <f aca="false">IF(OR(F38="",G38=""),"",IF(F38&gt;G38,1,IF(F38&lt;G38,-1,0)))</f>
        <v>0</v>
      </c>
      <c r="AA38" s="40" t="n">
        <f aca="false">COUNTIF(AN38:AN41,CONCATENATE("&gt;=",AN38))</f>
        <v>2</v>
      </c>
      <c r="AB38" s="42" t="str">
        <f aca="false">VLOOKUP("Germany",T,lang,0)</f>
        <v>Alemania</v>
      </c>
      <c r="AC38" s="40" t="n">
        <f aca="false">COUNTIF($S$7:$T$54,"=" &amp; AB38 &amp; "_win")</f>
        <v>1</v>
      </c>
      <c r="AD38" s="40" t="n">
        <f aca="false">COUNTIF($S$7:$T$54,"=" &amp; AB38 &amp; "_draw")</f>
        <v>0</v>
      </c>
      <c r="AE38" s="40" t="n">
        <f aca="false">COUNTIF($S$7:$T$54,"=" &amp; AB38 &amp; "_lose")</f>
        <v>1</v>
      </c>
      <c r="AF38" s="40" t="n">
        <f aca="false">SUMIF($E$7:$E$54,$AB38,$F$7:$F$54) + SUMIF($H$7:$H$54,$AB38,$G$7:$G$54)</f>
        <v>2</v>
      </c>
      <c r="AG38" s="40" t="n">
        <f aca="false">SUMIF($E$7:$E$54,$AB38,$G$7:$G$54) + SUMIF($H$7:$H$54,$AB38,$F$7:$F$54)</f>
        <v>2</v>
      </c>
      <c r="AH38" s="40" t="n">
        <f aca="false">(AF38-AG38)*100+AK38*10000+AF38</f>
        <v>30002</v>
      </c>
      <c r="AI38" s="40" t="n">
        <f aca="false">AF38-AG38</f>
        <v>0</v>
      </c>
      <c r="AJ38" s="40" t="n">
        <f aca="false">(AI38-AI43)/AI42</f>
        <v>0.4</v>
      </c>
      <c r="AK38" s="40" t="n">
        <f aca="false">AC38*3+AD38</f>
        <v>3</v>
      </c>
      <c r="AL38" s="40" t="n">
        <f aca="false">AP38/AP42*1000+AQ38/AQ42*100+AT38/AT42*10+AR38/AR42</f>
        <v>504</v>
      </c>
      <c r="AM38" s="40" t="n">
        <f aca="false">VLOOKUP(AB38,db_fifarank,2,0)/2000000</f>
        <v>0.000801</v>
      </c>
      <c r="AN38" s="42" t="n">
        <f aca="false">1000*AK38/AK42+100*AJ38+10*AF38/AF42+1*AL38/AL42+AM38</f>
        <v>476.231022222347</v>
      </c>
      <c r="AO38" s="43" t="str">
        <f aca="false">IF(SUM(AC38:AE41)=12,J39,INDEX(T,80,lang))</f>
        <v>1F</v>
      </c>
      <c r="AP38" s="44" t="n">
        <f aca="false">SUMPRODUCT(($S$7:$S$54=AB38&amp;"_win")*($U$7:$U$54))+SUMPRODUCT(($T$7:$T$54=AB38&amp;"_win")*($U$7:$U$54))</f>
        <v>1</v>
      </c>
      <c r="AQ38" s="44" t="n">
        <f aca="false">SUMPRODUCT(($S$7:$S$54=AB38&amp;"_draw")*($U$7:$U$54))+SUMPRODUCT(($T$7:$T$54=AB38&amp;"_draw")*($U$7:$U$54))</f>
        <v>0</v>
      </c>
      <c r="AR38" s="44" t="n">
        <f aca="false">SUMPRODUCT(($E$7:$E$54=AB38)*($U$7:$U$54)*($F$7:$F$54))+SUMPRODUCT(($H$7:$H$54=AB38)*($U$7:$U$54)*($G$7:$G$54))</f>
        <v>2</v>
      </c>
      <c r="AS38" s="44" t="n">
        <f aca="false">SUMPRODUCT(($E$7:$E$54=AB38)*($U$7:$U$54)*($G$7:$G$54))+SUMPRODUCT(($H$7:$H$54=AB38)*($U$7:$U$54)*($F$7:$F$54))</f>
        <v>1</v>
      </c>
      <c r="AT38" s="44" t="n">
        <f aca="false">AR38-AS38</f>
        <v>1</v>
      </c>
      <c r="AY38" s="78" t="n">
        <v>56</v>
      </c>
      <c r="AZ38" s="79" t="str">
        <f aca="false">AO50</f>
        <v>1H</v>
      </c>
      <c r="BA38" s="80"/>
      <c r="BB38" s="81"/>
      <c r="BC38" s="94"/>
      <c r="BD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</row>
    <row r="39" customFormat="false" ht="15" hidden="false" customHeight="true" outlineLevel="0" collapsed="false">
      <c r="A39" s="59" t="n">
        <v>33</v>
      </c>
      <c r="B39" s="60" t="str">
        <f aca="false">INDEX(T,18+INT(MOD(R39-1,7)),lang)</f>
        <v>Mon</v>
      </c>
      <c r="C39" s="61" t="str">
        <f aca="false">INDEX(T,24+MONTH(R39),lang) &amp; " " &amp; DAY(R39) &amp; ", " &amp; YEAR(R39)</f>
        <v>Jun 25, 2018</v>
      </c>
      <c r="D39" s="62" t="n">
        <f aca="false">TIME(HOUR(R39),MINUTE(R39),0)</f>
        <v>0.416666666666667</v>
      </c>
      <c r="E39" s="63" t="str">
        <f aca="false">AB11</f>
        <v>Uruguay</v>
      </c>
      <c r="F39" s="64" t="n">
        <v>3</v>
      </c>
      <c r="G39" s="65" t="n">
        <v>0</v>
      </c>
      <c r="H39" s="66" t="str">
        <f aca="false">AB8</f>
        <v>Rusia</v>
      </c>
      <c r="J39" s="71" t="str">
        <f aca="false">VLOOKUP(1,AA38:AK41,2,0)</f>
        <v>México</v>
      </c>
      <c r="K39" s="72" t="n">
        <f aca="false">L39+M39+N39</f>
        <v>2</v>
      </c>
      <c r="L39" s="72" t="n">
        <f aca="false">VLOOKUP(1,AA38:AK41,3,0)</f>
        <v>2</v>
      </c>
      <c r="M39" s="72" t="n">
        <f aca="false">VLOOKUP(1,AA38:AK41,4,0)</f>
        <v>0</v>
      </c>
      <c r="N39" s="72" t="n">
        <f aca="false">VLOOKUP(1,AA38:AK41,5,0)</f>
        <v>0</v>
      </c>
      <c r="O39" s="72" t="str">
        <f aca="false">VLOOKUP(1,AA38:AK41,6,0) &amp; " - " &amp; VLOOKUP(1,AA38:AK41,7,0)</f>
        <v>3 - 1</v>
      </c>
      <c r="P39" s="73" t="n">
        <f aca="false">L39*3+M39</f>
        <v>6</v>
      </c>
      <c r="R39" s="40" t="n">
        <f aca="false">DATE(2018,6,25)+TIME(3,0,0)+gmt_delta</f>
        <v>43276.4166666667</v>
      </c>
      <c r="S39" s="41" t="str">
        <f aca="false">IF(OR(F39="",G39=""),"",IF(F39&gt;G39,E39&amp;"_win",IF(F39&lt;G39,E39&amp;"_lose",E39&amp;"_draw")))</f>
        <v>Uruguay_win</v>
      </c>
      <c r="T39" s="41" t="str">
        <f aca="false">IF(S39="","",IF(F39&lt;G39,H39&amp;"_win",IF(F39&gt;G39,H39&amp;"_lose",H39&amp;"_draw")))</f>
        <v>Rusia_lose</v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n">
        <f aca="false">IF(OR(F39="",G39=""),"",IF(F39&gt;G39,1,IF(F39&lt;G39,-1,0)))</f>
        <v>1</v>
      </c>
      <c r="AA39" s="40" t="n">
        <f aca="false">COUNTIF(AN38:AN41,CONCATENATE("&gt;=",AN39))</f>
        <v>1</v>
      </c>
      <c r="AB39" s="42" t="str">
        <f aca="false">VLOOKUP("Mexico",T,lang,0)</f>
        <v>México</v>
      </c>
      <c r="AC39" s="40" t="n">
        <f aca="false">COUNTIF($S$7:$T$54,"=" &amp; AB39 &amp; "_win")</f>
        <v>2</v>
      </c>
      <c r="AD39" s="40" t="n">
        <f aca="false">COUNTIF($S$7:$T$54,"=" &amp; AB39 &amp; "_draw")</f>
        <v>0</v>
      </c>
      <c r="AE39" s="40" t="n">
        <f aca="false">COUNTIF($S$7:$T$54,"=" &amp; AB39 &amp; "_lose")</f>
        <v>0</v>
      </c>
      <c r="AF39" s="40" t="n">
        <f aca="false">SUMIF($E$7:$E$54,$AB39,$F$7:$F$54) + SUMIF($H$7:$H$54,$AB39,$G$7:$G$54)</f>
        <v>3</v>
      </c>
      <c r="AG39" s="40" t="n">
        <f aca="false">SUMIF($E$7:$E$54,$AB39,$G$7:$G$54) + SUMIF($H$7:$H$54,$AB39,$F$7:$F$54)</f>
        <v>1</v>
      </c>
      <c r="AH39" s="40" t="n">
        <f aca="false">(AF39-AG39)*100+AK39*10000+AF39</f>
        <v>60203</v>
      </c>
      <c r="AI39" s="40" t="n">
        <f aca="false">AF39-AG39</f>
        <v>2</v>
      </c>
      <c r="AJ39" s="40" t="n">
        <f aca="false">(AI39-AI43)/AI42</f>
        <v>0.8</v>
      </c>
      <c r="AK39" s="40" t="n">
        <f aca="false">AC39*3+AD39</f>
        <v>6</v>
      </c>
      <c r="AL39" s="40" t="n">
        <f aca="false">AP39/AP42*1000+AQ39/AQ42*100+AT39/AT42*10+AR39/AR42</f>
        <v>0</v>
      </c>
      <c r="AM39" s="40" t="n">
        <f aca="false">VLOOKUP(AB39,db_fifarank,2,0)/2000000</f>
        <v>0.000516</v>
      </c>
      <c r="AN39" s="42" t="n">
        <f aca="false">1000*AK39/AK42+100*AJ39+10*AF39/AF42+1*AL39/AL42+AM39</f>
        <v>947.143373142857</v>
      </c>
      <c r="AO39" s="43" t="str">
        <f aca="false">IF(SUM(AC38:AE41)=12,J40,INDEX(T,81,lang))</f>
        <v>2F</v>
      </c>
      <c r="AP39" s="44" t="n">
        <f aca="false">SUMPRODUCT(($S$7:$S$54=AB39&amp;"_win")*($U$7:$U$54))+SUMPRODUCT(($T$7:$T$54=AB39&amp;"_win")*($U$7:$U$54))</f>
        <v>0</v>
      </c>
      <c r="AQ39" s="44" t="n">
        <f aca="false">SUMPRODUCT(($S$7:$S$54=AB39&amp;"_draw")*($U$7:$U$54))+SUMPRODUCT(($T$7:$T$54=AB39&amp;"_draw")*($U$7:$U$54))</f>
        <v>0</v>
      </c>
      <c r="AR39" s="44" t="n">
        <f aca="false">SUMPRODUCT(($E$7:$E$54=AB39)*($U$7:$U$54)*($F$7:$F$54))+SUMPRODUCT(($H$7:$H$54=AB39)*($U$7:$U$54)*($G$7:$G$54))</f>
        <v>0</v>
      </c>
      <c r="AS39" s="44" t="n">
        <f aca="false">SUMPRODUCT(($E$7:$E$54=AB39)*($U$7:$U$54)*($G$7:$G$54))+SUMPRODUCT(($H$7:$H$54=AB39)*($U$7:$U$54)*($F$7:$F$54))</f>
        <v>0</v>
      </c>
      <c r="AT39" s="44" t="n">
        <f aca="false">AR39-AS39</f>
        <v>0</v>
      </c>
      <c r="AY39" s="78"/>
      <c r="AZ39" s="82" t="str">
        <f aca="false">AO45</f>
        <v>2G</v>
      </c>
      <c r="BA39" s="83"/>
      <c r="BB39" s="84"/>
      <c r="BC39" s="70"/>
      <c r="BD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</row>
    <row r="40" customFormat="false" ht="15" hidden="false" customHeight="true" outlineLevel="0" collapsed="false">
      <c r="A40" s="59" t="n">
        <v>34</v>
      </c>
      <c r="B40" s="60" t="str">
        <f aca="false">INDEX(T,18+INT(MOD(R40-1,7)),lang)</f>
        <v>Mon</v>
      </c>
      <c r="C40" s="61" t="str">
        <f aca="false">INDEX(T,24+MONTH(R40),lang) &amp; " " &amp; DAY(R40) &amp; ", " &amp; YEAR(R40)</f>
        <v>Jun 25, 2018</v>
      </c>
      <c r="D40" s="62" t="n">
        <f aca="false">TIME(HOUR(R40),MINUTE(R40),0)</f>
        <v>0.416666666666667</v>
      </c>
      <c r="E40" s="63" t="str">
        <f aca="false">AB9</f>
        <v>Arabia Saudita</v>
      </c>
      <c r="F40" s="64" t="n">
        <v>2</v>
      </c>
      <c r="G40" s="65" t="n">
        <v>1</v>
      </c>
      <c r="H40" s="66" t="str">
        <f aca="false">AB10</f>
        <v>Egipto</v>
      </c>
      <c r="J40" s="75" t="str">
        <f aca="false">VLOOKUP(2,AA38:AK41,2,0)</f>
        <v>Alemania</v>
      </c>
      <c r="K40" s="76" t="n">
        <f aca="false">L40+M40+N40</f>
        <v>2</v>
      </c>
      <c r="L40" s="76" t="n">
        <f aca="false">VLOOKUP(2,AA38:AK41,3,0)</f>
        <v>1</v>
      </c>
      <c r="M40" s="76" t="n">
        <f aca="false">VLOOKUP(2,AA38:AK41,4,0)</f>
        <v>0</v>
      </c>
      <c r="N40" s="76" t="n">
        <f aca="false">VLOOKUP(2,AA38:AK41,5,0)</f>
        <v>1</v>
      </c>
      <c r="O40" s="76" t="str">
        <f aca="false">VLOOKUP(2,AA38:AK41,6,0) &amp; " - " &amp; VLOOKUP(2,AA38:AK41,7,0)</f>
        <v>2 - 2</v>
      </c>
      <c r="P40" s="77" t="n">
        <f aca="false">L40*3+M40</f>
        <v>3</v>
      </c>
      <c r="R40" s="40" t="n">
        <f aca="false">DATE(2018,6,25)+TIME(3,0,0)+gmt_delta</f>
        <v>43276.4166666667</v>
      </c>
      <c r="S40" s="41" t="str">
        <f aca="false">IF(OR(F40="",G40=""),"",IF(F40&gt;G40,E40&amp;"_win",IF(F40&lt;G40,E40&amp;"_lose",E40&amp;"_draw")))</f>
        <v>Arabia Saudita_win</v>
      </c>
      <c r="T40" s="41" t="str">
        <f aca="false">IF(S40="","",IF(F40&lt;G40,H40&amp;"_win",IF(F40&gt;G40,H40&amp;"_lose",H40&amp;"_draw")))</f>
        <v>Egipto_lose</v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n">
        <f aca="false">IF(OR(F40="",G40=""),"",IF(F40&gt;G40,1,IF(F40&lt;G40,-1,0)))</f>
        <v>1</v>
      </c>
      <c r="AA40" s="40" t="n">
        <f aca="false">COUNTIF(AN38:AN41,CONCATENATE("&gt;=",AN40))</f>
        <v>3</v>
      </c>
      <c r="AB40" s="42" t="str">
        <f aca="false">VLOOKUP("Sweden",T,lang,0)</f>
        <v>Suecia</v>
      </c>
      <c r="AC40" s="40" t="n">
        <f aca="false">COUNTIF($S$7:$T$54,"=" &amp; AB40 &amp; "_win")</f>
        <v>1</v>
      </c>
      <c r="AD40" s="40" t="n">
        <f aca="false">COUNTIF($S$7:$T$54,"=" &amp; AB40 &amp; "_draw")</f>
        <v>0</v>
      </c>
      <c r="AE40" s="40" t="n">
        <f aca="false">COUNTIF($S$7:$T$54,"=" &amp; AB40 &amp; "_lose")</f>
        <v>1</v>
      </c>
      <c r="AF40" s="40" t="n">
        <f aca="false">SUMIF($E$7:$E$54,$AB40,$F$7:$F$54) + SUMIF($H$7:$H$54,$AB40,$G$7:$G$54)</f>
        <v>2</v>
      </c>
      <c r="AG40" s="40" t="n">
        <f aca="false">SUMIF($E$7:$E$54,$AB40,$G$7:$G$54) + SUMIF($H$7:$H$54,$AB40,$F$7:$F$54)</f>
        <v>2</v>
      </c>
      <c r="AH40" s="40" t="n">
        <f aca="false">(AF40-AG40)*100+AK40*10000+AF40</f>
        <v>30002</v>
      </c>
      <c r="AI40" s="40" t="n">
        <f aca="false">AF40-AG40</f>
        <v>0</v>
      </c>
      <c r="AJ40" s="40" t="n">
        <f aca="false">(AI40-AI43)/AI42</f>
        <v>0.4</v>
      </c>
      <c r="AK40" s="40" t="n">
        <f aca="false">AC40*3+AD40</f>
        <v>3</v>
      </c>
      <c r="AL40" s="40" t="n">
        <f aca="false">AP40/AP42*1000+AQ40/AQ42*100+AT40/AT42*10+AR40/AR42</f>
        <v>-3</v>
      </c>
      <c r="AM40" s="40" t="n">
        <f aca="false">VLOOKUP(AB40,db_fifarank,2,0)/2000000</f>
        <v>0.000499</v>
      </c>
      <c r="AN40" s="42" t="n">
        <f aca="false">1000*AK40/AK42+100*AJ40+10*AF40/AF42+1*AL40/AL42+AM40</f>
        <v>475.232688726284</v>
      </c>
      <c r="AP40" s="44" t="n">
        <f aca="false">SUMPRODUCT(($S$7:$S$54=AB40&amp;"_win")*($U$7:$U$54))+SUMPRODUCT(($T$7:$T$54=AB40&amp;"_win")*($U$7:$U$54))</f>
        <v>0</v>
      </c>
      <c r="AQ40" s="44" t="n">
        <f aca="false">SUMPRODUCT(($S$7:$S$54=AB40&amp;"_draw")*($U$7:$U$54))+SUMPRODUCT(($T$7:$T$54=AB40&amp;"_draw")*($U$7:$U$54))</f>
        <v>0</v>
      </c>
      <c r="AR40" s="44" t="n">
        <f aca="false">SUMPRODUCT(($E$7:$E$54=AB40)*($U$7:$U$54)*($F$7:$F$54))+SUMPRODUCT(($H$7:$H$54=AB40)*($U$7:$U$54)*($G$7:$G$54))</f>
        <v>1</v>
      </c>
      <c r="AS40" s="44" t="n">
        <f aca="false">SUMPRODUCT(($E$7:$E$54=AB40)*($U$7:$U$54)*($G$7:$G$54))+SUMPRODUCT(($H$7:$H$54=AB40)*($U$7:$U$54)*($F$7:$F$54))</f>
        <v>2</v>
      </c>
      <c r="AT40" s="44" t="n">
        <f aca="false">AR40-AS40</f>
        <v>-1</v>
      </c>
    </row>
    <row r="41" customFormat="false" ht="15" hidden="false" customHeight="true" outlineLevel="0" collapsed="false">
      <c r="A41" s="59" t="n">
        <v>35</v>
      </c>
      <c r="B41" s="60" t="str">
        <f aca="false">INDEX(T,18+INT(MOD(R41-1,7)),lang)</f>
        <v>Mon</v>
      </c>
      <c r="C41" s="61" t="str">
        <f aca="false">INDEX(T,24+MONTH(R41),lang) &amp; " " &amp; DAY(R41) &amp; ", " &amp; YEAR(R41)</f>
        <v>Jun 25, 2018</v>
      </c>
      <c r="D41" s="62" t="n">
        <f aca="false">TIME(HOUR(R41),MINUTE(R41),0)</f>
        <v>0.583333333333333</v>
      </c>
      <c r="E41" s="63" t="str">
        <f aca="false">AB17</f>
        <v>Irán</v>
      </c>
      <c r="F41" s="64" t="n">
        <v>1</v>
      </c>
      <c r="G41" s="65" t="n">
        <v>1</v>
      </c>
      <c r="H41" s="66" t="str">
        <f aca="false">AB14</f>
        <v>Portugal</v>
      </c>
      <c r="J41" s="75" t="str">
        <f aca="false">VLOOKUP(3,AA38:AK41,2,0)</f>
        <v>Suecia</v>
      </c>
      <c r="K41" s="76" t="n">
        <f aca="false">L41+M41+N41</f>
        <v>2</v>
      </c>
      <c r="L41" s="76" t="n">
        <f aca="false">VLOOKUP(3,AA38:AK41,3,0)</f>
        <v>1</v>
      </c>
      <c r="M41" s="76" t="n">
        <f aca="false">VLOOKUP(3,AA38:AK41,4,0)</f>
        <v>0</v>
      </c>
      <c r="N41" s="76" t="n">
        <f aca="false">VLOOKUP(3,AA38:AK41,5,0)</f>
        <v>1</v>
      </c>
      <c r="O41" s="76" t="str">
        <f aca="false">VLOOKUP(3,AA38:AK41,6,0) &amp; " - " &amp; VLOOKUP(3,AA38:AK41,7,0)</f>
        <v>2 - 2</v>
      </c>
      <c r="P41" s="77" t="n">
        <f aca="false">L41*3+M41</f>
        <v>3</v>
      </c>
      <c r="R41" s="40" t="n">
        <f aca="false">DATE(2018,6,25)+TIME(7,0,0)+gmt_delta</f>
        <v>43276.5833333333</v>
      </c>
      <c r="S41" s="41" t="str">
        <f aca="false">IF(OR(F41="",G41=""),"",IF(F41&gt;G41,E41&amp;"_win",IF(F41&lt;G41,E41&amp;"_lose",E41&amp;"_draw")))</f>
        <v>Irán_draw</v>
      </c>
      <c r="T41" s="41" t="str">
        <f aca="false">IF(S41="","",IF(F41&lt;G41,H41&amp;"_win",IF(F41&gt;G41,H41&amp;"_lose",H41&amp;"_draw")))</f>
        <v>Portugal_draw</v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n">
        <f aca="false">IF(OR(F41="",G41=""),"",IF(F41&gt;G41,1,IF(F41&lt;G41,-1,0)))</f>
        <v>0</v>
      </c>
      <c r="AA41" s="40" t="n">
        <f aca="false">COUNTIF(AN38:AN41,CONCATENATE("&gt;=",AN41))</f>
        <v>4</v>
      </c>
      <c r="AB41" s="42" t="str">
        <f aca="false">VLOOKUP("Korea Republic",T,lang,0)</f>
        <v>República de Corea</v>
      </c>
      <c r="AC41" s="40" t="n">
        <f aca="false">COUNTIF($S$7:$T$54,"=" &amp; AB41 &amp; "_win")</f>
        <v>0</v>
      </c>
      <c r="AD41" s="40" t="n">
        <f aca="false">COUNTIF($S$7:$T$54,"=" &amp; AB41 &amp; "_draw")</f>
        <v>0</v>
      </c>
      <c r="AE41" s="40" t="n">
        <f aca="false">COUNTIF($S$7:$T$54,"=" &amp; AB41 &amp; "_lose")</f>
        <v>2</v>
      </c>
      <c r="AF41" s="40" t="n">
        <f aca="false">SUMIF($E$7:$E$54,$AB41,$F$7:$F$54) + SUMIF($H$7:$H$54,$AB41,$G$7:$G$54)</f>
        <v>1</v>
      </c>
      <c r="AG41" s="40" t="n">
        <f aca="false">SUMIF($E$7:$E$54,$AB41,$G$7:$G$54) + SUMIF($H$7:$H$54,$AB41,$F$7:$F$54)</f>
        <v>3</v>
      </c>
      <c r="AH41" s="40" t="n">
        <f aca="false">(AF41-AG41)*100+AK41*10000+AF41</f>
        <v>-199</v>
      </c>
      <c r="AI41" s="40" t="n">
        <f aca="false">AF41-AG41</f>
        <v>-2</v>
      </c>
      <c r="AJ41" s="40" t="n">
        <f aca="false">(AI41-AI43)/AI42</f>
        <v>0</v>
      </c>
      <c r="AK41" s="40" t="n">
        <f aca="false">AC41*3+AD41</f>
        <v>0</v>
      </c>
      <c r="AL41" s="40" t="n">
        <f aca="false">AP41/AP42*1000+AQ41/AQ42*100+AT41/AT42*10+AR41/AR42</f>
        <v>0</v>
      </c>
      <c r="AM41" s="40" t="n">
        <f aca="false">VLOOKUP(AB41,db_fifarank,2,0)/2000000</f>
        <v>0.000285</v>
      </c>
      <c r="AN41" s="42" t="n">
        <f aca="false">1000*AK41/AK42+100*AJ41+10*AF41/AF42+1*AL41/AL42+AM41</f>
        <v>3.33361833333333</v>
      </c>
      <c r="AP41" s="44" t="n">
        <f aca="false">SUMPRODUCT(($S$7:$S$54=AB41&amp;"_win")*($U$7:$U$54))+SUMPRODUCT(($T$7:$T$54=AB41&amp;"_win")*($U$7:$U$54))</f>
        <v>0</v>
      </c>
      <c r="AQ41" s="44" t="n">
        <f aca="false">SUMPRODUCT(($S$7:$S$54=AB41&amp;"_draw")*($U$7:$U$54))+SUMPRODUCT(($T$7:$T$54=AB41&amp;"_draw")*($U$7:$U$54))</f>
        <v>0</v>
      </c>
      <c r="AR41" s="44" t="n">
        <f aca="false">SUMPRODUCT(($E$7:$E$54=AB41)*($U$7:$U$54)*($F$7:$F$54))+SUMPRODUCT(($H$7:$H$54=AB41)*($U$7:$U$54)*($G$7:$G$54))</f>
        <v>0</v>
      </c>
      <c r="AS41" s="44" t="n">
        <f aca="false">SUMPRODUCT(($E$7:$E$54=AB41)*($U$7:$U$54)*($G$7:$G$54))+SUMPRODUCT(($H$7:$H$54=AB41)*($U$7:$U$54)*($F$7:$F$54))</f>
        <v>0</v>
      </c>
      <c r="AT41" s="44" t="n">
        <f aca="false">AR41-AS41</f>
        <v>0</v>
      </c>
      <c r="BJ41" s="100" t="str">
        <f aca="false">INDEX(T,102,lang)</f>
        <v>Campeón 2018</v>
      </c>
      <c r="BK41" s="100"/>
      <c r="BL41" s="100"/>
      <c r="BM41" s="100"/>
      <c r="BN41" s="100"/>
      <c r="BO41" s="101" t="str">
        <f aca="false">S85</f>
        <v/>
      </c>
      <c r="BP41" s="101"/>
      <c r="BQ41" s="101"/>
      <c r="BR41" s="101"/>
      <c r="BS41" s="101"/>
      <c r="BT41" s="101"/>
    </row>
    <row r="42" customFormat="false" ht="15" hidden="false" customHeight="true" outlineLevel="0" collapsed="false">
      <c r="A42" s="59" t="n">
        <v>36</v>
      </c>
      <c r="B42" s="60" t="str">
        <f aca="false">INDEX(T,18+INT(MOD(R42-1,7)),lang)</f>
        <v>Mon</v>
      </c>
      <c r="C42" s="61" t="str">
        <f aca="false">INDEX(T,24+MONTH(R42),lang) &amp; " " &amp; DAY(R42) &amp; ", " &amp; YEAR(R42)</f>
        <v>Jun 25, 2018</v>
      </c>
      <c r="D42" s="62" t="n">
        <f aca="false">TIME(HOUR(R42),MINUTE(R42),0)</f>
        <v>0.583333333333333</v>
      </c>
      <c r="E42" s="63" t="str">
        <f aca="false">AB15</f>
        <v>España</v>
      </c>
      <c r="F42" s="64" t="n">
        <v>2</v>
      </c>
      <c r="G42" s="65" t="n">
        <v>2</v>
      </c>
      <c r="H42" s="66" t="str">
        <f aca="false">AB16</f>
        <v>Marruecos</v>
      </c>
      <c r="J42" s="87" t="str">
        <f aca="false">VLOOKUP(4,AA38:AK41,2,0)</f>
        <v>República de Corea</v>
      </c>
      <c r="K42" s="88" t="n">
        <f aca="false">L42+M42+N42</f>
        <v>2</v>
      </c>
      <c r="L42" s="88" t="n">
        <f aca="false">VLOOKUP(4,AA38:AK41,3,0)</f>
        <v>0</v>
      </c>
      <c r="M42" s="88" t="n">
        <f aca="false">VLOOKUP(4,AA38:AK41,4,0)</f>
        <v>0</v>
      </c>
      <c r="N42" s="88" t="n">
        <f aca="false">VLOOKUP(4,AA38:AK41,5,0)</f>
        <v>2</v>
      </c>
      <c r="O42" s="88" t="str">
        <f aca="false">VLOOKUP(4,AA38:AK41,6,0) &amp; " - " &amp; VLOOKUP(4,AA38:AK41,7,0)</f>
        <v>1 - 3</v>
      </c>
      <c r="P42" s="89" t="n">
        <f aca="false">L42*3+M42</f>
        <v>0</v>
      </c>
      <c r="R42" s="40" t="n">
        <f aca="false">DATE(2018,6,25)+TIME(7,0,0)+gmt_delta</f>
        <v>43276.5833333333</v>
      </c>
      <c r="S42" s="41" t="str">
        <f aca="false">IF(OR(F42="",G42=""),"",IF(F42&gt;G42,E42&amp;"_win",IF(F42&lt;G42,E42&amp;"_lose",E42&amp;"_draw")))</f>
        <v>España_draw</v>
      </c>
      <c r="T42" s="41" t="str">
        <f aca="false">IF(S42="","",IF(F42&lt;G42,H42&amp;"_win",IF(F42&gt;G42,H42&amp;"_lose",H42&amp;"_draw")))</f>
        <v>Marruecos_draw</v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n">
        <f aca="false">IF(OR(F42="",G42=""),"",IF(F42&gt;G42,1,IF(F42&lt;G42,-1,0)))</f>
        <v>0</v>
      </c>
      <c r="AC42" s="40" t="n">
        <f aca="false">MAX(AC38:AC41)-MIN(AC38:AC41)+1</f>
        <v>3</v>
      </c>
      <c r="AD42" s="40" t="n">
        <f aca="false">MAX(AD38:AD41)-MIN(AD38:AD41)+1</f>
        <v>1</v>
      </c>
      <c r="AE42" s="40" t="n">
        <f aca="false">MAX(AE38:AE41)-MIN(AE38:AE41)+1</f>
        <v>3</v>
      </c>
      <c r="AF42" s="40" t="n">
        <f aca="false">MAX(AF38:AF41)-MIN(AF38:AF41)+1</f>
        <v>3</v>
      </c>
      <c r="AG42" s="40" t="n">
        <f aca="false">MAX(AG38:AG41)-MIN(AG38:AG41)+1</f>
        <v>3</v>
      </c>
      <c r="AH42" s="40" t="n">
        <f aca="false">MAX(AH38:AH41)-AH43+1</f>
        <v>60403</v>
      </c>
      <c r="AI42" s="40" t="n">
        <f aca="false">MAX(AI38:AI41)-AI43+1</f>
        <v>5</v>
      </c>
      <c r="AK42" s="40" t="n">
        <f aca="false">MAX(AK38:AK41)-MIN(AK38:AK41)+1</f>
        <v>7</v>
      </c>
      <c r="AL42" s="40" t="n">
        <f aca="false">MAX(AL38:AL41)-MIN(AL38:AL41)+1</f>
        <v>508</v>
      </c>
      <c r="AP42" s="40" t="n">
        <f aca="false">MAX(AP38:AP41)-MIN(AP38:AP41)+1</f>
        <v>2</v>
      </c>
      <c r="AQ42" s="40" t="n">
        <f aca="false">MAX(AQ38:AQ41)-MIN(AQ38:AQ41)+1</f>
        <v>1</v>
      </c>
      <c r="AR42" s="40" t="n">
        <f aca="false">MAX(AR38:AR41)-MIN(AR38:AR41)+1</f>
        <v>3</v>
      </c>
      <c r="AS42" s="40" t="n">
        <f aca="false">MAX(AS38:AS41)-MIN(AS38:AS41)+1</f>
        <v>3</v>
      </c>
      <c r="AT42" s="40" t="n">
        <f aca="false">MAX(AT38:AT41)-MIN(AT38:AT41)+1</f>
        <v>3</v>
      </c>
      <c r="BJ42" s="100"/>
      <c r="BK42" s="100"/>
      <c r="BL42" s="100"/>
      <c r="BM42" s="100"/>
      <c r="BN42" s="100"/>
      <c r="BO42" s="101"/>
      <c r="BP42" s="101"/>
      <c r="BQ42" s="101"/>
      <c r="BR42" s="101"/>
      <c r="BS42" s="101"/>
      <c r="BT42" s="101"/>
    </row>
    <row r="43" customFormat="false" ht="15" hidden="false" customHeight="true" outlineLevel="0" collapsed="false">
      <c r="A43" s="59" t="n">
        <v>37</v>
      </c>
      <c r="B43" s="60" t="str">
        <f aca="false">INDEX(T,18+INT(MOD(R43-1,7)),lang)</f>
        <v>Tue</v>
      </c>
      <c r="C43" s="61" t="str">
        <f aca="false">INDEX(T,24+MONTH(R43),lang) &amp; " " &amp; DAY(R43) &amp; ", " &amp; YEAR(R43)</f>
        <v>Jun 26, 2018</v>
      </c>
      <c r="D43" s="62" t="n">
        <f aca="false">TIME(HOUR(R43),MINUTE(R43),0)</f>
        <v>0.416666666666667</v>
      </c>
      <c r="E43" s="63" t="str">
        <f aca="false">AB23</f>
        <v>Dinamarca</v>
      </c>
      <c r="F43" s="64" t="n">
        <v>0</v>
      </c>
      <c r="G43" s="65" t="n">
        <v>0</v>
      </c>
      <c r="H43" s="66" t="str">
        <f aca="false">AB20</f>
        <v>Francia</v>
      </c>
      <c r="R43" s="40" t="n">
        <f aca="false">DATE(2018,6,26)+TIME(3,0,0)+gmt_delta</f>
        <v>43277.4166666667</v>
      </c>
      <c r="S43" s="41" t="str">
        <f aca="false">IF(OR(F43="",G43=""),"",IF(F43&gt;G43,E43&amp;"_win",IF(F43&lt;G43,E43&amp;"_lose",E43&amp;"_draw")))</f>
        <v>Dinamarca_draw</v>
      </c>
      <c r="T43" s="41" t="str">
        <f aca="false">IF(S43="","",IF(F43&lt;G43,H43&amp;"_win",IF(F43&gt;G43,H43&amp;"_lose",H43&amp;"_draw")))</f>
        <v>Francia_draw</v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n">
        <f aca="false">IF(OR(F43="",G43=""),"",IF(F43&gt;G43,1,IF(F43&lt;G43,-1,0)))</f>
        <v>0</v>
      </c>
      <c r="AH43" s="40" t="n">
        <f aca="false">MIN(AH38:AH41)</f>
        <v>-199</v>
      </c>
      <c r="AI43" s="40" t="n">
        <f aca="false">MIN(AI38:AI41)</f>
        <v>-2</v>
      </c>
      <c r="AY43" s="102"/>
    </row>
    <row r="44" customFormat="false" ht="15" hidden="false" customHeight="true" outlineLevel="0" collapsed="false">
      <c r="A44" s="59" t="n">
        <v>38</v>
      </c>
      <c r="B44" s="60" t="str">
        <f aca="false">INDEX(T,18+INT(MOD(R44-1,7)),lang)</f>
        <v>Tue</v>
      </c>
      <c r="C44" s="61" t="str">
        <f aca="false">INDEX(T,24+MONTH(R44),lang) &amp; " " &amp; DAY(R44) &amp; ", " &amp; YEAR(R44)</f>
        <v>Jun 26, 2018</v>
      </c>
      <c r="D44" s="62" t="n">
        <f aca="false">TIME(HOUR(R44),MINUTE(R44),0)</f>
        <v>0.416666666666667</v>
      </c>
      <c r="E44" s="63" t="str">
        <f aca="false">AB21</f>
        <v>Australia</v>
      </c>
      <c r="F44" s="64" t="n">
        <v>0</v>
      </c>
      <c r="G44" s="65" t="n">
        <v>2</v>
      </c>
      <c r="H44" s="66" t="str">
        <f aca="false">AB22</f>
        <v>Perú</v>
      </c>
      <c r="J44" s="67" t="str">
        <f aca="false">INDEX(T,9,lang) &amp; " " &amp; "G"</f>
        <v>Grupo G</v>
      </c>
      <c r="K44" s="68" t="str">
        <f aca="false">INDEX(T,10,lang)</f>
        <v>J</v>
      </c>
      <c r="L44" s="68" t="str">
        <f aca="false">INDEX(T,11,lang)</f>
        <v>G</v>
      </c>
      <c r="M44" s="68" t="str">
        <f aca="false">INDEX(T,12,lang)</f>
        <v>DRAW</v>
      </c>
      <c r="N44" s="68" t="str">
        <f aca="false">INDEX(T,13,lang)</f>
        <v>P</v>
      </c>
      <c r="O44" s="68" t="str">
        <f aca="false">INDEX(T,14,lang)</f>
        <v>GF - GC</v>
      </c>
      <c r="P44" s="69" t="str">
        <f aca="false">INDEX(T,15,lang)</f>
        <v>PTS</v>
      </c>
      <c r="R44" s="40" t="n">
        <f aca="false">DATE(2018,6,26)+TIME(3,0,0)+gmt_delta</f>
        <v>43277.4166666667</v>
      </c>
      <c r="S44" s="41" t="str">
        <f aca="false">IF(OR(F44="",G44=""),"",IF(F44&gt;G44,E44&amp;"_win",IF(F44&lt;G44,E44&amp;"_lose",E44&amp;"_draw")))</f>
        <v>Australia_lose</v>
      </c>
      <c r="T44" s="41" t="str">
        <f aca="false">IF(S44="","",IF(F44&lt;G44,H44&amp;"_win",IF(F44&gt;G44,H44&amp;"_lose",H44&amp;"_draw")))</f>
        <v>Perú_win</v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n">
        <f aca="false">IF(OR(F44="",G44=""),"",IF(F44&gt;G44,1,IF(F44&lt;G44,-1,0)))</f>
        <v>-1</v>
      </c>
      <c r="AA44" s="40" t="n">
        <f aca="false">COUNTIF(AN44:AN47,CONCATENATE("&gt;=",AN44))</f>
        <v>1</v>
      </c>
      <c r="AB44" s="42" t="str">
        <f aca="false">VLOOKUP("Belgium",T,lang,0)</f>
        <v>Bélgica</v>
      </c>
      <c r="AC44" s="40" t="n">
        <f aca="false">COUNTIF($S$7:$T$54,"=" &amp; AB44 &amp; "_win")</f>
        <v>2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8</v>
      </c>
      <c r="AG44" s="40" t="n">
        <f aca="false">SUMIF($E$7:$E$54,$AB44,$G$7:$G$54) + SUMIF($H$7:$H$54,$AB44,$F$7:$F$54)</f>
        <v>2</v>
      </c>
      <c r="AH44" s="40" t="n">
        <f aca="false">(AF44-AG44)*100+AK44*10000+AF44</f>
        <v>60608</v>
      </c>
      <c r="AI44" s="40" t="n">
        <f aca="false">AF44-AG44</f>
        <v>6</v>
      </c>
      <c r="AJ44" s="40" t="n">
        <f aca="false">(AI44-AI49)/AI48</f>
        <v>0.933333333333333</v>
      </c>
      <c r="AK44" s="40" t="n">
        <f aca="false">AC44*3+AD44</f>
        <v>6</v>
      </c>
      <c r="AL44" s="40" t="n">
        <f aca="false">AP44/AP48*1000+AQ44/AQ48*100+AT44/AT48*10+AR44/AR48</f>
        <v>0</v>
      </c>
      <c r="AM44" s="40" t="n">
        <f aca="false">VLOOKUP(AB44,db_fifarank,2,0)/2000000</f>
        <v>0.0006625</v>
      </c>
      <c r="AN44" s="42" t="n">
        <f aca="false">1000*AK44/AK48+100*AJ44+10*AF44/AF48+1*AL44/AL48+AM44</f>
        <v>960.476852976191</v>
      </c>
      <c r="AO44" s="43" t="str">
        <f aca="false">IF(SUM(AC44:AE47)=12,J45,INDEX(T,82,lang))</f>
        <v>1G</v>
      </c>
      <c r="AP44" s="44" t="n">
        <f aca="false">SUMPRODUCT(($S$7:$S$54=AB44&amp;"_win")*($U$7:$U$54))+SUMPRODUCT(($T$7:$T$54=AB44&amp;"_win")*($U$7:$U$54))</f>
        <v>0</v>
      </c>
      <c r="AQ44" s="44" t="n">
        <f aca="false">SUMPRODUCT(($S$7:$S$54=AB44&amp;"_draw")*($U$7:$U$54))+SUMPRODUCT(($T$7:$T$54=AB44&amp;"_draw")*($U$7:$U$54))</f>
        <v>0</v>
      </c>
      <c r="AR44" s="44" t="n">
        <f aca="false">SUMPRODUCT(($E$7:$E$54=AB44)*($U$7:$U$54)*($F$7:$F$54))+SUMPRODUCT(($H$7:$H$54=AB44)*($U$7:$U$54)*($G$7:$G$54))</f>
        <v>0</v>
      </c>
      <c r="AS44" s="44" t="n">
        <f aca="false">SUMPRODUCT(($E$7:$E$54=AB44)*($U$7:$U$54)*($G$7:$G$54))+SUMPRODUCT(($H$7:$H$54=AB44)*($U$7:$U$54)*($F$7:$F$54))</f>
        <v>0</v>
      </c>
      <c r="AT44" s="44" t="n">
        <f aca="false">AR44-AS44</f>
        <v>0</v>
      </c>
    </row>
    <row r="45" customFormat="false" ht="15" hidden="false" customHeight="true" outlineLevel="0" collapsed="false">
      <c r="A45" s="59" t="n">
        <v>39</v>
      </c>
      <c r="B45" s="60" t="str">
        <f aca="false">INDEX(T,18+INT(MOD(R45-1,7)),lang)</f>
        <v>Tue</v>
      </c>
      <c r="C45" s="61" t="str">
        <f aca="false">INDEX(T,24+MONTH(R45),lang) &amp; " " &amp; DAY(R45) &amp; ", " &amp; YEAR(R45)</f>
        <v>Jun 26, 2018</v>
      </c>
      <c r="D45" s="62" t="n">
        <f aca="false">TIME(HOUR(R45),MINUTE(R45),0)</f>
        <v>0.583333333333333</v>
      </c>
      <c r="E45" s="63" t="str">
        <f aca="false">AB29</f>
        <v>Nigeria</v>
      </c>
      <c r="F45" s="64" t="n">
        <v>1</v>
      </c>
      <c r="G45" s="65" t="n">
        <v>2</v>
      </c>
      <c r="H45" s="66" t="str">
        <f aca="false">AB26</f>
        <v>Argentina</v>
      </c>
      <c r="J45" s="71" t="str">
        <f aca="false">VLOOKUP(1,AA44:AK47,2,0)</f>
        <v>Bélgica</v>
      </c>
      <c r="K45" s="72" t="n">
        <f aca="false">L45+M45+N45</f>
        <v>2</v>
      </c>
      <c r="L45" s="72" t="n">
        <f aca="false">VLOOKUP(1,AA44:AK47,3,0)</f>
        <v>2</v>
      </c>
      <c r="M45" s="72" t="n">
        <f aca="false">VLOOKUP(1,AA44:AK47,4,0)</f>
        <v>0</v>
      </c>
      <c r="N45" s="72" t="n">
        <f aca="false">VLOOKUP(1,AA44:AK47,5,0)</f>
        <v>0</v>
      </c>
      <c r="O45" s="72" t="str">
        <f aca="false">VLOOKUP(1,AA44:AK47,6,0) &amp; " - " &amp; VLOOKUP(1,AA44:AK47,7,0)</f>
        <v>8 - 2</v>
      </c>
      <c r="P45" s="73" t="n">
        <f aca="false">L45*3+M45</f>
        <v>6</v>
      </c>
      <c r="R45" s="40" t="n">
        <f aca="false">DATE(2018,6,26)+TIME(7,0,0)+gmt_delta</f>
        <v>43277.5833333333</v>
      </c>
      <c r="S45" s="41" t="str">
        <f aca="false">IF(OR(F45="",G45=""),"",IF(F45&gt;G45,E45&amp;"_win",IF(F45&lt;G45,E45&amp;"_lose",E45&amp;"_draw")))</f>
        <v>Nigeria_lose</v>
      </c>
      <c r="T45" s="41" t="str">
        <f aca="false">IF(S45="","",IF(F45&lt;G45,H45&amp;"_win",IF(F45&gt;G45,H45&amp;"_lose",H45&amp;"_draw")))</f>
        <v>Argentina_win</v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n">
        <f aca="false">IF(OR(F45="",G45=""),"",IF(F45&gt;G45,1,IF(F45&lt;G45,-1,0)))</f>
        <v>-1</v>
      </c>
      <c r="AA45" s="40" t="n">
        <f aca="false">COUNTIF(AN44:AN47,CONCATENATE("&gt;=",AN45))</f>
        <v>4</v>
      </c>
      <c r="AB45" s="42" t="str">
        <f aca="false">VLOOKUP("Panama",T,lang,0)</f>
        <v>Panamá</v>
      </c>
      <c r="AC45" s="40" t="n">
        <f aca="false">COUNTIF($S$7:$T$54,"=" &amp; AB45 &amp; "_win")</f>
        <v>0</v>
      </c>
      <c r="AD45" s="40" t="n">
        <f aca="false">COUNTIF($S$7:$T$54,"=" &amp; AB45 &amp; "_draw")</f>
        <v>0</v>
      </c>
      <c r="AE45" s="40" t="n">
        <f aca="false">COUNTIF($S$7:$T$54,"=" &amp; AB45 &amp; "_lose")</f>
        <v>2</v>
      </c>
      <c r="AF45" s="40" t="n">
        <f aca="false">SUMIF($E$7:$E$54,$AB45,$F$7:$F$54) + SUMIF($H$7:$H$54,$AB45,$G$7:$G$54)</f>
        <v>1</v>
      </c>
      <c r="AG45" s="40" t="n">
        <f aca="false">SUMIF($E$7:$E$54,$AB45,$G$7:$G$54) + SUMIF($H$7:$H$54,$AB45,$F$7:$F$54)</f>
        <v>9</v>
      </c>
      <c r="AH45" s="40" t="n">
        <f aca="false">(AF45-AG45)*100+AK45*10000+AF45</f>
        <v>-799</v>
      </c>
      <c r="AI45" s="40" t="n">
        <f aca="false">AF45-AG45</f>
        <v>-8</v>
      </c>
      <c r="AJ45" s="40" t="n">
        <f aca="false">(AI45-AI49)/AI48</f>
        <v>0</v>
      </c>
      <c r="AK45" s="40" t="n">
        <f aca="false">AC45*3+AD45</f>
        <v>0</v>
      </c>
      <c r="AL45" s="40" t="n">
        <f aca="false">AP45/AP48*1000+AQ45/AQ48*100+AT45/AT48*10+AR45/AR48</f>
        <v>0</v>
      </c>
      <c r="AM45" s="40" t="n">
        <f aca="false">VLOOKUP(AB45,db_fifarank,2,0)/2000000</f>
        <v>0.0003105</v>
      </c>
      <c r="AN45" s="42" t="n">
        <f aca="false">1000*AK45/AK48+100*AJ45+10*AF45/AF48+1*AL45/AL48+AM45</f>
        <v>1.2503105</v>
      </c>
      <c r="AO45" s="43" t="str">
        <f aca="false">IF(SUM(AC44:AE47)=12,J46,INDEX(T,83,lang))</f>
        <v>2G</v>
      </c>
      <c r="AP45" s="44" t="n">
        <f aca="false">SUMPRODUCT(($S$7:$S$54=AB45&amp;"_win")*($U$7:$U$54))+SUMPRODUCT(($T$7:$T$54=AB45&amp;"_win")*($U$7:$U$54))</f>
        <v>0</v>
      </c>
      <c r="AQ45" s="44" t="n">
        <f aca="false">SUMPRODUCT(($S$7:$S$54=AB45&amp;"_draw")*($U$7:$U$54))+SUMPRODUCT(($T$7:$T$54=AB45&amp;"_draw")*($U$7:$U$54))</f>
        <v>0</v>
      </c>
      <c r="AR45" s="44" t="n">
        <f aca="false">SUMPRODUCT(($E$7:$E$54=AB45)*($U$7:$U$54)*($F$7:$F$54))+SUMPRODUCT(($H$7:$H$54=AB45)*($U$7:$U$54)*($G$7:$G$54))</f>
        <v>0</v>
      </c>
      <c r="AS45" s="44" t="n">
        <f aca="false">SUMPRODUCT(($E$7:$E$54=AB45)*($U$7:$U$54)*($G$7:$G$54))+SUMPRODUCT(($H$7:$H$54=AB45)*($U$7:$U$54)*($F$7:$F$54))</f>
        <v>0</v>
      </c>
      <c r="AT45" s="44" t="n">
        <f aca="false">AR45-AS45</f>
        <v>0</v>
      </c>
    </row>
    <row r="46" customFormat="false" ht="15" hidden="false" customHeight="true" outlineLevel="0" collapsed="false">
      <c r="A46" s="59" t="n">
        <v>40</v>
      </c>
      <c r="B46" s="60" t="str">
        <f aca="false">INDEX(T,18+INT(MOD(R46-1,7)),lang)</f>
        <v>Tue</v>
      </c>
      <c r="C46" s="61" t="str">
        <f aca="false">INDEX(T,24+MONTH(R46),lang) &amp; " " &amp; DAY(R46) &amp; ", " &amp; YEAR(R46)</f>
        <v>Jun 26, 2018</v>
      </c>
      <c r="D46" s="62" t="n">
        <f aca="false">TIME(HOUR(R46),MINUTE(R46),0)</f>
        <v>0.583333333333333</v>
      </c>
      <c r="E46" s="63" t="str">
        <f aca="false">AB27</f>
        <v>Islandia</v>
      </c>
      <c r="F46" s="64" t="n">
        <v>1</v>
      </c>
      <c r="G46" s="65" t="n">
        <v>1</v>
      </c>
      <c r="H46" s="66" t="str">
        <f aca="false">AB28</f>
        <v>Croacia</v>
      </c>
      <c r="J46" s="75" t="str">
        <f aca="false">VLOOKUP(2,AA44:AK47,2,0)</f>
        <v>Inglaterra</v>
      </c>
      <c r="K46" s="76" t="n">
        <f aca="false">L46+M46+N46</f>
        <v>2</v>
      </c>
      <c r="L46" s="76" t="n">
        <f aca="false">VLOOKUP(2,AA44:AK47,3,0)</f>
        <v>2</v>
      </c>
      <c r="M46" s="76" t="n">
        <f aca="false">VLOOKUP(2,AA44:AK47,4,0)</f>
        <v>0</v>
      </c>
      <c r="N46" s="76" t="n">
        <f aca="false">VLOOKUP(2,AA44:AK47,5,0)</f>
        <v>0</v>
      </c>
      <c r="O46" s="76" t="str">
        <f aca="false">VLOOKUP(2,AA44:AK47,6,0) &amp; " - " &amp; VLOOKUP(2,AA44:AK47,7,0)</f>
        <v>8 - 2</v>
      </c>
      <c r="P46" s="77" t="n">
        <f aca="false">L46*3+M46</f>
        <v>6</v>
      </c>
      <c r="R46" s="40" t="n">
        <f aca="false">DATE(2018,6,26)+TIME(7,0,0)+gmt_delta</f>
        <v>43277.5833333333</v>
      </c>
      <c r="S46" s="41" t="str">
        <f aca="false">IF(OR(F46="",G46=""),"",IF(F46&gt;G46,E46&amp;"_win",IF(F46&lt;G46,E46&amp;"_lose",E46&amp;"_draw")))</f>
        <v>Islandia_draw</v>
      </c>
      <c r="T46" s="41" t="str">
        <f aca="false">IF(S46="","",IF(F46&lt;G46,H46&amp;"_win",IF(F46&gt;G46,H46&amp;"_lose",H46&amp;"_draw")))</f>
        <v>Croacia_draw</v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n">
        <f aca="false">IF(OR(F46="",G46=""),"",IF(F46&gt;G46,1,IF(F46&lt;G46,-1,0)))</f>
        <v>0</v>
      </c>
      <c r="AA46" s="40" t="n">
        <f aca="false">COUNTIF(AN44:AN47,CONCATENATE("&gt;=",AN46))</f>
        <v>3</v>
      </c>
      <c r="AB46" s="42" t="str">
        <f aca="false">VLOOKUP("Tunisia",T,lang,0)</f>
        <v>Túnez</v>
      </c>
      <c r="AC46" s="40" t="n">
        <f aca="false">COUNTIF($S$7:$T$54,"=" &amp; AB46 &amp; "_win")</f>
        <v>0</v>
      </c>
      <c r="AD46" s="40" t="n">
        <f aca="false">COUNTIF($S$7:$T$54,"=" &amp; AB46 &amp; "_draw")</f>
        <v>0</v>
      </c>
      <c r="AE46" s="40" t="n">
        <f aca="false">COUNTIF($S$7:$T$54,"=" &amp; AB46 &amp; "_lose")</f>
        <v>2</v>
      </c>
      <c r="AF46" s="40" t="n">
        <f aca="false">SUMIF($E$7:$E$54,$AB46,$F$7:$F$54) + SUMIF($H$7:$H$54,$AB46,$G$7:$G$54)</f>
        <v>3</v>
      </c>
      <c r="AG46" s="40" t="n">
        <f aca="false">SUMIF($E$7:$E$54,$AB46,$G$7:$G$54) + SUMIF($H$7:$H$54,$AB46,$F$7:$F$54)</f>
        <v>7</v>
      </c>
      <c r="AH46" s="40" t="n">
        <f aca="false">(AF46-AG46)*100+AK46*10000+AF46</f>
        <v>-397</v>
      </c>
      <c r="AI46" s="40" t="n">
        <f aca="false">AF46-AG46</f>
        <v>-4</v>
      </c>
      <c r="AJ46" s="40" t="n">
        <f aca="false">(AI46-AI49)/AI48</f>
        <v>0.266666666666667</v>
      </c>
      <c r="AK46" s="40" t="n">
        <f aca="false">AC46*3+AD46</f>
        <v>0</v>
      </c>
      <c r="AL46" s="40" t="n">
        <f aca="false">AP46/AP48*1000+AQ46/AQ48*100+AT46/AT48*10+AR46/AR48</f>
        <v>0</v>
      </c>
      <c r="AM46" s="40" t="n">
        <f aca="false">VLOOKUP(AB46,db_fifarank,2,0)/2000000</f>
        <v>0.000419</v>
      </c>
      <c r="AN46" s="42" t="n">
        <f aca="false">1000*AK46/AK48+100*AJ46+10*AF46/AF48+1*AL46/AL48+AM46</f>
        <v>30.4170856666667</v>
      </c>
      <c r="AP46" s="44" t="n">
        <f aca="false">SUMPRODUCT(($S$7:$S$54=AB46&amp;"_win")*($U$7:$U$54))+SUMPRODUCT(($T$7:$T$54=AB46&amp;"_win")*($U$7:$U$54))</f>
        <v>0</v>
      </c>
      <c r="AQ46" s="44" t="n">
        <f aca="false">SUMPRODUCT(($S$7:$S$54=AB46&amp;"_draw")*($U$7:$U$54))+SUMPRODUCT(($T$7:$T$54=AB46&amp;"_draw")*($U$7:$U$54))</f>
        <v>0</v>
      </c>
      <c r="AR46" s="44" t="n">
        <f aca="false">SUMPRODUCT(($E$7:$E$54=AB46)*($U$7:$U$54)*($F$7:$F$54))+SUMPRODUCT(($H$7:$H$54=AB46)*($U$7:$U$54)*($G$7:$G$54))</f>
        <v>0</v>
      </c>
      <c r="AS46" s="44" t="n">
        <f aca="false">SUMPRODUCT(($E$7:$E$54=AB46)*($U$7:$U$54)*($G$7:$G$54))+SUMPRODUCT(($H$7:$H$54=AB46)*($U$7:$U$54)*($F$7:$F$54))</f>
        <v>0</v>
      </c>
      <c r="AT46" s="44" t="n">
        <f aca="false">AR46-AS46</f>
        <v>0</v>
      </c>
      <c r="AY46" s="103" t="s">
        <v>2559</v>
      </c>
      <c r="AZ46" s="103"/>
      <c r="BA46" s="103"/>
      <c r="BB46" s="103"/>
    </row>
    <row r="47" customFormat="false" ht="15" hidden="false" customHeight="true" outlineLevel="0" collapsed="false">
      <c r="A47" s="59" t="n">
        <v>41</v>
      </c>
      <c r="B47" s="60" t="str">
        <f aca="false">INDEX(T,18+INT(MOD(R47-1,7)),lang)</f>
        <v>Wed</v>
      </c>
      <c r="C47" s="61" t="str">
        <f aca="false">INDEX(T,24+MONTH(R47),lang) &amp; " " &amp; DAY(R47) &amp; ", " &amp; YEAR(R47)</f>
        <v>Jun 27, 2018</v>
      </c>
      <c r="D47" s="62" t="n">
        <f aca="false">TIME(HOUR(R47),MINUTE(R47),0)</f>
        <v>0.583333333333333</v>
      </c>
      <c r="E47" s="63" t="str">
        <f aca="false">AB35</f>
        <v>Serbia</v>
      </c>
      <c r="F47" s="64"/>
      <c r="G47" s="65"/>
      <c r="H47" s="66" t="str">
        <f aca="false">AB32</f>
        <v>Brasil</v>
      </c>
      <c r="J47" s="75" t="str">
        <f aca="false">VLOOKUP(3,AA44:AK47,2,0)</f>
        <v>Túnez</v>
      </c>
      <c r="K47" s="76" t="n">
        <f aca="false">L47+M47+N47</f>
        <v>2</v>
      </c>
      <c r="L47" s="76" t="n">
        <f aca="false">VLOOKUP(3,AA44:AK47,3,0)</f>
        <v>0</v>
      </c>
      <c r="M47" s="76" t="n">
        <f aca="false">VLOOKUP(3,AA44:AK47,4,0)</f>
        <v>0</v>
      </c>
      <c r="N47" s="76" t="n">
        <f aca="false">VLOOKUP(3,AA44:AK47,5,0)</f>
        <v>2</v>
      </c>
      <c r="O47" s="76" t="str">
        <f aca="false">VLOOKUP(3,AA44:AK47,6,0) &amp; " - " &amp; VLOOKUP(3,AA44:AK47,7,0)</f>
        <v>3 - 7</v>
      </c>
      <c r="P47" s="77" t="n">
        <f aca="false">L47*3+M47</f>
        <v>0</v>
      </c>
      <c r="R47" s="40" t="n">
        <f aca="false">DATE(2018,6,27)+TIME(7,0,0)+gmt_delta</f>
        <v>43278.5833333333</v>
      </c>
      <c r="S47" s="41" t="str">
        <f aca="false">IF(OR(F47="",G47=""),"",IF(F47&gt;G47,E47&amp;"_win",IF(F47&lt;G47,E47&amp;"_lose",E47&amp;"_draw")))</f>
        <v/>
      </c>
      <c r="T47" s="41" t="str">
        <f aca="false">IF(S47="","",IF(F47&lt;G47,H47&amp;"_win",IF(F47&gt;G47,H47&amp;"_lose",H47&amp;"_draw")))</f>
        <v/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str">
        <f aca="false">IF(OR(F47="",G47=""),"",IF(F47&gt;G47,1,IF(F47&lt;G47,-1,0)))</f>
        <v/>
      </c>
      <c r="AA47" s="40" t="n">
        <f aca="false">COUNTIF(AN44:AN47,CONCATENATE("&gt;=",AN47))</f>
        <v>2</v>
      </c>
      <c r="AB47" s="42" t="str">
        <f aca="false">VLOOKUP("England",T,lang,0)</f>
        <v>Inglaterra</v>
      </c>
      <c r="AC47" s="40" t="n">
        <f aca="false">COUNTIF($S$7:$T$54,"=" &amp; AB47 &amp; "_win")</f>
        <v>2</v>
      </c>
      <c r="AD47" s="40" t="n">
        <f aca="false">COUNTIF($S$7:$T$54,"=" &amp; AB47 &amp; "_draw")</f>
        <v>0</v>
      </c>
      <c r="AE47" s="40" t="n">
        <f aca="false">COUNTIF($S$7:$T$54,"=" &amp; AB47 &amp; "_lose")</f>
        <v>0</v>
      </c>
      <c r="AF47" s="40" t="n">
        <f aca="false">SUMIF($E$7:$E$54,$AB47,$F$7:$F$54) + SUMIF($H$7:$H$54,$AB47,$G$7:$G$54)</f>
        <v>8</v>
      </c>
      <c r="AG47" s="40" t="n">
        <f aca="false">SUMIF($E$7:$E$54,$AB47,$G$7:$G$54) + SUMIF($H$7:$H$54,$AB47,$F$7:$F$54)</f>
        <v>2</v>
      </c>
      <c r="AH47" s="40" t="n">
        <f aca="false">(AF47-AG47)*100+AK47*10000+AF47</f>
        <v>60608</v>
      </c>
      <c r="AI47" s="40" t="n">
        <f aca="false">AF47-AG47</f>
        <v>6</v>
      </c>
      <c r="AJ47" s="40" t="n">
        <f aca="false">(AI47-AI49)/AI48</f>
        <v>0.933333333333333</v>
      </c>
      <c r="AK47" s="40" t="n">
        <f aca="false">AC47*3+AD47</f>
        <v>6</v>
      </c>
      <c r="AL47" s="40" t="n">
        <f aca="false">AP47/AP48*1000+AQ47/AQ48*100+AT47/AT48*10+AR47/AR48</f>
        <v>0</v>
      </c>
      <c r="AM47" s="40" t="n">
        <f aca="false">VLOOKUP(AB47,db_fifarank,2,0)/2000000</f>
        <v>0.0005235</v>
      </c>
      <c r="AN47" s="42" t="n">
        <f aca="false">1000*AK47/AK48+100*AJ47+10*AF47/AF48+1*AL47/AL48+AM47</f>
        <v>960.47671397619</v>
      </c>
      <c r="AP47" s="44" t="n">
        <f aca="false">SUMPRODUCT(($S$7:$S$54=AB47&amp;"_win")*($U$7:$U$54))+SUMPRODUCT(($T$7:$T$54=AB47&amp;"_win")*($U$7:$U$54))</f>
        <v>0</v>
      </c>
      <c r="AQ47" s="44" t="n">
        <f aca="false">SUMPRODUCT(($S$7:$S$54=AB47&amp;"_draw")*($U$7:$U$54))+SUMPRODUCT(($T$7:$T$54=AB47&amp;"_draw")*($U$7:$U$54))</f>
        <v>0</v>
      </c>
      <c r="AR47" s="44" t="n">
        <f aca="false">SUMPRODUCT(($E$7:$E$54=AB47)*($U$7:$U$54)*($F$7:$F$54))+SUMPRODUCT(($H$7:$H$54=AB47)*($U$7:$U$54)*($G$7:$G$54))</f>
        <v>0</v>
      </c>
      <c r="AS47" s="44" t="n">
        <f aca="false">SUMPRODUCT(($E$7:$E$54=AB47)*($U$7:$U$54)*($G$7:$G$54))+SUMPRODUCT(($H$7:$H$54=AB47)*($U$7:$U$54)*($F$7:$F$54))</f>
        <v>0</v>
      </c>
      <c r="AT47" s="44" t="n">
        <f aca="false">AR47-AS47</f>
        <v>0</v>
      </c>
      <c r="AY47" s="103"/>
      <c r="AZ47" s="103"/>
      <c r="BA47" s="103"/>
      <c r="BB47" s="103"/>
    </row>
    <row r="48" customFormat="false" ht="15" hidden="false" customHeight="true" outlineLevel="0" collapsed="false">
      <c r="A48" s="59" t="n">
        <v>42</v>
      </c>
      <c r="B48" s="60" t="str">
        <f aca="false">INDEX(T,18+INT(MOD(R48-1,7)),lang)</f>
        <v>Wed</v>
      </c>
      <c r="C48" s="61" t="str">
        <f aca="false">INDEX(T,24+MONTH(R48),lang) &amp; " " &amp; DAY(R48) &amp; ", " &amp; YEAR(R48)</f>
        <v>Jun 27, 2018</v>
      </c>
      <c r="D48" s="62" t="n">
        <f aca="false">TIME(HOUR(R48),MINUTE(R48),0)</f>
        <v>0.583333333333333</v>
      </c>
      <c r="E48" s="63" t="str">
        <f aca="false">AB33</f>
        <v>Suiza</v>
      </c>
      <c r="F48" s="64"/>
      <c r="G48" s="65"/>
      <c r="H48" s="66" t="str">
        <f aca="false">AB34</f>
        <v>Costa Rica</v>
      </c>
      <c r="J48" s="87" t="str">
        <f aca="false">VLOOKUP(4,AA44:AK47,2,0)</f>
        <v>Panamá</v>
      </c>
      <c r="K48" s="88" t="n">
        <f aca="false">L48+M48+N48</f>
        <v>2</v>
      </c>
      <c r="L48" s="88" t="n">
        <f aca="false">VLOOKUP(4,AA44:AK47,3,0)</f>
        <v>0</v>
      </c>
      <c r="M48" s="88" t="n">
        <f aca="false">VLOOKUP(4,AA44:AK47,4,0)</f>
        <v>0</v>
      </c>
      <c r="N48" s="88" t="n">
        <f aca="false">VLOOKUP(4,AA44:AK47,5,0)</f>
        <v>2</v>
      </c>
      <c r="O48" s="88" t="str">
        <f aca="false">VLOOKUP(4,AA44:AK47,6,0) &amp; " - " &amp; VLOOKUP(4,AA44:AK47,7,0)</f>
        <v>1 - 9</v>
      </c>
      <c r="P48" s="89" t="n">
        <f aca="false">L48*3+M48</f>
        <v>0</v>
      </c>
      <c r="R48" s="40" t="n">
        <f aca="false">DATE(2018,6,27)+TIME(7,0,0)+gmt_delta</f>
        <v>43278.5833333333</v>
      </c>
      <c r="S48" s="41" t="str">
        <f aca="false">IF(OR(F48="",G48=""),"",IF(F48&gt;G48,E48&amp;"_win",IF(F48&lt;G48,E48&amp;"_lose",E48&amp;"_draw")))</f>
        <v/>
      </c>
      <c r="T48" s="41" t="str">
        <f aca="false">IF(S48="","",IF(F48&lt;G48,H48&amp;"_win",IF(F48&gt;G48,H48&amp;"_lose",H48&amp;"_draw")))</f>
        <v/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str">
        <f aca="false">IF(OR(F48="",G48=""),"",IF(F48&gt;G48,1,IF(F48&lt;G48,-1,0)))</f>
        <v/>
      </c>
      <c r="AC48" s="40" t="n">
        <f aca="false">MAX(AC44:AC47)-MIN(AC44:AC47)+1</f>
        <v>3</v>
      </c>
      <c r="AD48" s="40" t="n">
        <f aca="false">MAX(AD44:AD47)-MIN(AD44:AD47)+1</f>
        <v>1</v>
      </c>
      <c r="AE48" s="40" t="n">
        <f aca="false">MAX(AE44:AE47)-MIN(AE44:AE47)+1</f>
        <v>3</v>
      </c>
      <c r="AF48" s="40" t="n">
        <f aca="false">MAX(AF44:AF47)-MIN(AF44:AF47)+1</f>
        <v>8</v>
      </c>
      <c r="AG48" s="40" t="n">
        <f aca="false">MAX(AG44:AG47)-MIN(AG44:AG47)+1</f>
        <v>8</v>
      </c>
      <c r="AH48" s="40" t="n">
        <f aca="false">MAX(AH44:AH47)-AH49+1</f>
        <v>61408</v>
      </c>
      <c r="AI48" s="40" t="n">
        <f aca="false">MAX(AI44:AI47)-AI49+1</f>
        <v>15</v>
      </c>
      <c r="AK48" s="40" t="n">
        <f aca="false">MAX(AK44:AK47)-MIN(AK44:AK47)+1</f>
        <v>7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103"/>
      <c r="AZ48" s="103"/>
      <c r="BA48" s="103"/>
      <c r="BB48" s="103"/>
    </row>
    <row r="49" customFormat="false" ht="15" hidden="false" customHeight="true" outlineLevel="0" collapsed="false">
      <c r="A49" s="59" t="n">
        <v>43</v>
      </c>
      <c r="B49" s="60" t="str">
        <f aca="false">INDEX(T,18+INT(MOD(R49-1,7)),lang)</f>
        <v>Wed</v>
      </c>
      <c r="C49" s="61" t="str">
        <f aca="false">INDEX(T,24+MONTH(R49),lang) &amp; " " &amp; DAY(R49) &amp; ", " &amp; YEAR(R49)</f>
        <v>Jun 27, 2018</v>
      </c>
      <c r="D49" s="62" t="n">
        <f aca="false">TIME(HOUR(R49),MINUTE(R49),0)</f>
        <v>0.416666666666667</v>
      </c>
      <c r="E49" s="63" t="str">
        <f aca="false">AB41</f>
        <v>República de Corea</v>
      </c>
      <c r="F49" s="64"/>
      <c r="G49" s="65"/>
      <c r="H49" s="66" t="str">
        <f aca="false">AB38</f>
        <v>Alemania</v>
      </c>
      <c r="R49" s="40" t="n">
        <f aca="false">DATE(2018,6,27)+TIME(3,0,0)+gmt_delta</f>
        <v>43278.4166666667</v>
      </c>
      <c r="S49" s="41" t="str">
        <f aca="false">IF(OR(F49="",G49=""),"",IF(F49&gt;G49,E49&amp;"_win",IF(F49&lt;G49,E49&amp;"_lose",E49&amp;"_draw")))</f>
        <v/>
      </c>
      <c r="T49" s="41" t="str">
        <f aca="false">IF(S49="","",IF(F49&lt;G49,H49&amp;"_win",IF(F49&gt;G49,H49&amp;"_lose",H49&amp;"_draw")))</f>
        <v/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1</v>
      </c>
      <c r="Y49" s="40" t="str">
        <f aca="false">IF(OR(F49="",G49=""),"",IF(F49&gt;G49,1,IF(F49&lt;G49,-1,0)))</f>
        <v/>
      </c>
      <c r="AH49" s="40" t="n">
        <f aca="false">MIN(AH44:AH47)</f>
        <v>-799</v>
      </c>
      <c r="AI49" s="40" t="n">
        <f aca="false">MIN(AI44:AI47)</f>
        <v>-8</v>
      </c>
      <c r="AY49" s="103"/>
      <c r="AZ49" s="103"/>
      <c r="BA49" s="103"/>
      <c r="BB49" s="103"/>
    </row>
    <row r="50" customFormat="false" ht="15" hidden="false" customHeight="true" outlineLevel="0" collapsed="false">
      <c r="A50" s="59" t="n">
        <v>44</v>
      </c>
      <c r="B50" s="60" t="str">
        <f aca="false">INDEX(T,18+INT(MOD(R50-1,7)),lang)</f>
        <v>Wed</v>
      </c>
      <c r="C50" s="61" t="str">
        <f aca="false">INDEX(T,24+MONTH(R50),lang) &amp; " " &amp; DAY(R50) &amp; ", " &amp; YEAR(R50)</f>
        <v>Jun 27, 2018</v>
      </c>
      <c r="D50" s="62" t="n">
        <f aca="false">TIME(HOUR(R50),MINUTE(R50),0)</f>
        <v>0.416666666666667</v>
      </c>
      <c r="E50" s="63" t="str">
        <f aca="false">AB39</f>
        <v>México</v>
      </c>
      <c r="F50" s="64"/>
      <c r="G50" s="65"/>
      <c r="H50" s="66" t="str">
        <f aca="false">AB40</f>
        <v>Suecia</v>
      </c>
      <c r="J50" s="67" t="str">
        <f aca="false">INDEX(T,9,lang) &amp; " " &amp; "H"</f>
        <v>Grupo H</v>
      </c>
      <c r="K50" s="68" t="str">
        <f aca="false">INDEX(T,10,lang)</f>
        <v>J</v>
      </c>
      <c r="L50" s="68" t="str">
        <f aca="false">INDEX(T,11,lang)</f>
        <v>G</v>
      </c>
      <c r="M50" s="68" t="str">
        <f aca="false">INDEX(T,12,lang)</f>
        <v>DRAW</v>
      </c>
      <c r="N50" s="68" t="str">
        <f aca="false">INDEX(T,13,lang)</f>
        <v>P</v>
      </c>
      <c r="O50" s="68" t="str">
        <f aca="false">INDEX(T,14,lang)</f>
        <v>GF - GC</v>
      </c>
      <c r="P50" s="69" t="str">
        <f aca="false">INDEX(T,15,lang)</f>
        <v>PTS</v>
      </c>
      <c r="R50" s="40" t="n">
        <f aca="false">DATE(2018,6,27)+TIME(3,0,0)+gmt_delta</f>
        <v>43278.4166666667</v>
      </c>
      <c r="S50" s="41" t="str">
        <f aca="false">IF(OR(F50="",G50=""),"",IF(F50&gt;G50,E50&amp;"_win",IF(F50&lt;G50,E50&amp;"_lose",E50&amp;"_draw")))</f>
        <v/>
      </c>
      <c r="T50" s="41" t="str">
        <f aca="false">IF(S50="","",IF(F50&lt;G50,H50&amp;"_win",IF(F50&gt;G50,H50&amp;"_lose",H50&amp;"_draw")))</f>
        <v/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str">
        <f aca="false">IF(OR(F50="",G50=""),"",IF(F50&gt;G50,1,IF(F50&lt;G50,-1,0)))</f>
        <v/>
      </c>
      <c r="AA50" s="40" t="n">
        <f aca="false">COUNTIF(AN50:AN53,CONCATENATE("&gt;=",AN50))</f>
        <v>4</v>
      </c>
      <c r="AB50" s="42" t="str">
        <f aca="false">VLOOKUP("Poland",T,lang,0)</f>
        <v>Polonia</v>
      </c>
      <c r="AC50" s="40" t="n">
        <f aca="false">COUNTIF($S$7:$T$54,"=" &amp; AB50 &amp; "_win")</f>
        <v>0</v>
      </c>
      <c r="AD50" s="40" t="n">
        <f aca="false">COUNTIF($S$7:$T$54,"=" &amp; AB50 &amp; "_draw")</f>
        <v>0</v>
      </c>
      <c r="AE50" s="40" t="n">
        <f aca="false">COUNTIF($S$7:$T$54,"=" &amp; AB50 &amp; "_lose")</f>
        <v>2</v>
      </c>
      <c r="AF50" s="40" t="n">
        <f aca="false">SUMIF($E$7:$E$54,$AB50,$F$7:$F$54) + SUMIF($H$7:$H$54,$AB50,$G$7:$G$54)</f>
        <v>1</v>
      </c>
      <c r="AG50" s="40" t="n">
        <f aca="false">SUMIF($E$7:$E$54,$AB50,$G$7:$G$54) + SUMIF($H$7:$H$54,$AB50,$F$7:$F$54)</f>
        <v>5</v>
      </c>
      <c r="AH50" s="40" t="n">
        <f aca="false">(AF50-AG50)*100+AK50*10000+AF50</f>
        <v>-399</v>
      </c>
      <c r="AI50" s="40" t="n">
        <f aca="false">AF50-AG50</f>
        <v>-4</v>
      </c>
      <c r="AJ50" s="40" t="n">
        <f aca="false">(AI50-AI55)/AI54</f>
        <v>0</v>
      </c>
      <c r="AK50" s="40" t="n">
        <f aca="false">AC50*3+AD50</f>
        <v>0</v>
      </c>
      <c r="AL50" s="40" t="n">
        <f aca="false">AP50/AP54*1000+AQ50/AQ54*100+AT50/AT54*10+AR50/AR54</f>
        <v>0</v>
      </c>
      <c r="AM50" s="40" t="n">
        <f aca="false">VLOOKUP(AB50,db_fifarank,2,0)/2000000</f>
        <v>0.0006045</v>
      </c>
      <c r="AN50" s="42" t="n">
        <f aca="false">1000*AK50/AK54+100*AJ50+10*AF50/AF54+1*AL50/AL54+AM50</f>
        <v>2.5006045</v>
      </c>
      <c r="AO50" s="43" t="str">
        <f aca="false">IF(SUM(AC50:AE53)=12,J51,INDEX(T,84,lang))</f>
        <v>1H</v>
      </c>
      <c r="AP50" s="44" t="n">
        <f aca="false">SUMPRODUCT(($S$7:$S$54=AB50&amp;"_win")*($U$7:$U$54))+SUMPRODUCT(($T$7:$T$54=AB50&amp;"_win")*($U$7:$U$54))</f>
        <v>0</v>
      </c>
      <c r="AQ50" s="44" t="n">
        <f aca="false">SUMPRODUCT(($S$7:$S$54=AB50&amp;"_draw")*($U$7:$U$54))+SUMPRODUCT(($T$7:$T$54=AB50&amp;"_draw")*($U$7:$U$54))</f>
        <v>0</v>
      </c>
      <c r="AR50" s="44" t="n">
        <f aca="false">SUMPRODUCT(($E$7:$E$54=AB50)*($U$7:$U$54)*($F$7:$F$54))+SUMPRODUCT(($H$7:$H$54=AB50)*($U$7:$U$54)*($G$7:$G$54))</f>
        <v>0</v>
      </c>
      <c r="AS50" s="44" t="n">
        <f aca="false">SUMPRODUCT(($E$7:$E$54=AB50)*($U$7:$U$54)*($G$7:$G$54))+SUMPRODUCT(($H$7:$H$54=AB50)*($U$7:$U$54)*($F$7:$F$54))</f>
        <v>0</v>
      </c>
      <c r="AT50" s="44" t="n">
        <f aca="false">AR50-AS50</f>
        <v>0</v>
      </c>
      <c r="AY50" s="103"/>
      <c r="AZ50" s="103"/>
      <c r="BA50" s="103"/>
      <c r="BB50" s="103"/>
    </row>
    <row r="51" customFormat="false" ht="15" hidden="false" customHeight="true" outlineLevel="0" collapsed="false">
      <c r="A51" s="59" t="n">
        <v>45</v>
      </c>
      <c r="B51" s="60" t="str">
        <f aca="false">INDEX(T,18+INT(MOD(R51-1,7)),lang)</f>
        <v>Thu</v>
      </c>
      <c r="C51" s="61" t="str">
        <f aca="false">INDEX(T,24+MONTH(R51),lang) &amp; " " &amp; DAY(R51) &amp; ", " &amp; YEAR(R51)</f>
        <v>Jun 28, 2018</v>
      </c>
      <c r="D51" s="62" t="n">
        <f aca="false">TIME(HOUR(R51),MINUTE(R51),0)</f>
        <v>0.583333333333333</v>
      </c>
      <c r="E51" s="63" t="str">
        <f aca="false">AB47</f>
        <v>Inglaterra</v>
      </c>
      <c r="F51" s="64"/>
      <c r="G51" s="65"/>
      <c r="H51" s="66" t="str">
        <f aca="false">AB44</f>
        <v>Bélgica</v>
      </c>
      <c r="J51" s="71" t="str">
        <f aca="false">VLOOKUP(1,AA50:AK53,2,0)</f>
        <v>Senegal</v>
      </c>
      <c r="K51" s="72" t="n">
        <f aca="false">L51+M51+N51</f>
        <v>2</v>
      </c>
      <c r="L51" s="72" t="n">
        <f aca="false">VLOOKUP(1,AA50:AK53,3,0)</f>
        <v>1</v>
      </c>
      <c r="M51" s="72" t="n">
        <f aca="false">VLOOKUP(1,AA50:AK53,4,0)</f>
        <v>1</v>
      </c>
      <c r="N51" s="72" t="n">
        <f aca="false">VLOOKUP(1,AA50:AK53,5,0)</f>
        <v>0</v>
      </c>
      <c r="O51" s="72" t="str">
        <f aca="false">VLOOKUP(1,AA50:AK53,6,0) &amp; " - " &amp; VLOOKUP(1,AA50:AK53,7,0)</f>
        <v>4 - 3</v>
      </c>
      <c r="P51" s="73" t="n">
        <f aca="false">L51*3+M51</f>
        <v>4</v>
      </c>
      <c r="R51" s="40" t="n">
        <f aca="false">DATE(2018,6,28)+TIME(7,0,0)+gmt_delta</f>
        <v>43279.5833333333</v>
      </c>
      <c r="S51" s="41" t="str">
        <f aca="false">IF(OR(F51="",G51=""),"",IF(F51&gt;G51,E51&amp;"_win",IF(F51&lt;G51,E51&amp;"_lose",E51&amp;"_draw")))</f>
        <v/>
      </c>
      <c r="T51" s="41" t="str">
        <f aca="false">IF(S51="","",IF(F51&lt;G51,H51&amp;"_win",IF(F51&gt;G51,H51&amp;"_lose",H51&amp;"_draw")))</f>
        <v/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str">
        <f aca="false">IF(OR(F51="",G51=""),"",IF(F51&gt;G51,1,IF(F51&lt;G51,-1,0)))</f>
        <v/>
      </c>
      <c r="AA51" s="40" t="n">
        <f aca="false">COUNTIF(AN50:AN53,CONCATENATE("&gt;=",AN51))</f>
        <v>1</v>
      </c>
      <c r="AB51" s="42" t="str">
        <f aca="false">VLOOKUP("Senegal",T,lang,0)</f>
        <v>Senegal</v>
      </c>
      <c r="AC51" s="40" t="n">
        <f aca="false">COUNTIF($S$7:$T$54,"=" &amp; AB51 &amp; "_win")</f>
        <v>1</v>
      </c>
      <c r="AD51" s="40" t="n">
        <f aca="false">COUNTIF($S$7:$T$54,"=" &amp; AB51 &amp; "_draw")</f>
        <v>1</v>
      </c>
      <c r="AE51" s="40" t="n">
        <f aca="false">COUNTIF($S$7:$T$54,"=" &amp; AB51 &amp; "_lose")</f>
        <v>0</v>
      </c>
      <c r="AF51" s="40" t="n">
        <f aca="false">SUMIF($E$7:$E$54,$AB51,$F$7:$F$54) + SUMIF($H$7:$H$54,$AB51,$G$7:$G$54)</f>
        <v>4</v>
      </c>
      <c r="AG51" s="40" t="n">
        <f aca="false">SUMIF($E$7:$E$54,$AB51,$G$7:$G$54) + SUMIF($H$7:$H$54,$AB51,$F$7:$F$54)</f>
        <v>3</v>
      </c>
      <c r="AH51" s="40" t="n">
        <f aca="false">(AF51-AG51)*100+AK51*10000+AF51</f>
        <v>40104</v>
      </c>
      <c r="AI51" s="40" t="n">
        <f aca="false">AF51-AG51</f>
        <v>1</v>
      </c>
      <c r="AJ51" s="40" t="n">
        <f aca="false">(AI51-AI55)/AI54</f>
        <v>0.714285714285714</v>
      </c>
      <c r="AK51" s="40" t="n">
        <f aca="false">AC51*3+AD51</f>
        <v>4</v>
      </c>
      <c r="AL51" s="40" t="n">
        <f aca="false">AP51/AP54*1000+AQ51/AQ54*100+AT51/AT54*10+AR51/AR54</f>
        <v>50.6666666666667</v>
      </c>
      <c r="AM51" s="40" t="n">
        <f aca="false">VLOOKUP(AB51,db_fifarank,2,0)/2000000</f>
        <v>0.000442</v>
      </c>
      <c r="AN51" s="42" t="n">
        <f aca="false">1000*AK51/AK54+100*AJ51+10*AF51/AF54+1*AL51/AL54+AM51</f>
        <v>882.409658589862</v>
      </c>
      <c r="AO51" s="43" t="str">
        <f aca="false">IF(SUM(AC50:AE53)=12,J52,INDEX(T,85,lang))</f>
        <v>2H</v>
      </c>
      <c r="AP51" s="44" t="n">
        <f aca="false">SUMPRODUCT(($S$7:$S$54=AB51&amp;"_win")*($U$7:$U$54))+SUMPRODUCT(($T$7:$T$54=AB51&amp;"_win")*($U$7:$U$54))</f>
        <v>0</v>
      </c>
      <c r="AQ51" s="44" t="n">
        <f aca="false">SUMPRODUCT(($S$7:$S$54=AB51&amp;"_draw")*($U$7:$U$54))+SUMPRODUCT(($T$7:$T$54=AB51&amp;"_draw")*($U$7:$U$54))</f>
        <v>1</v>
      </c>
      <c r="AR51" s="44" t="n">
        <f aca="false">SUMPRODUCT(($E$7:$E$54=AB51)*($U$7:$U$54)*($F$7:$F$54))+SUMPRODUCT(($H$7:$H$54=AB51)*($U$7:$U$54)*($G$7:$G$54))</f>
        <v>2</v>
      </c>
      <c r="AS51" s="44" t="n">
        <f aca="false">SUMPRODUCT(($E$7:$E$54=AB51)*($U$7:$U$54)*($G$7:$G$54))+SUMPRODUCT(($H$7:$H$54=AB51)*($U$7:$U$54)*($F$7:$F$54))</f>
        <v>2</v>
      </c>
      <c r="AT51" s="44" t="n">
        <f aca="false">AR51-AS51</f>
        <v>0</v>
      </c>
      <c r="AY51" s="103"/>
      <c r="AZ51" s="103"/>
      <c r="BA51" s="103"/>
      <c r="BB51" s="103"/>
    </row>
    <row r="52" customFormat="false" ht="15" hidden="false" customHeight="true" outlineLevel="0" collapsed="false">
      <c r="A52" s="59" t="n">
        <v>46</v>
      </c>
      <c r="B52" s="60" t="str">
        <f aca="false">INDEX(T,18+INT(MOD(R52-1,7)),lang)</f>
        <v>Thu</v>
      </c>
      <c r="C52" s="61" t="str">
        <f aca="false">INDEX(T,24+MONTH(R52),lang) &amp; " " &amp; DAY(R52) &amp; ", " &amp; YEAR(R52)</f>
        <v>Jun 28, 2018</v>
      </c>
      <c r="D52" s="62" t="n">
        <f aca="false">TIME(HOUR(R52),MINUTE(R52),0)</f>
        <v>0.583333333333333</v>
      </c>
      <c r="E52" s="63" t="str">
        <f aca="false">AB45</f>
        <v>Panamá</v>
      </c>
      <c r="F52" s="64"/>
      <c r="G52" s="65"/>
      <c r="H52" s="66" t="str">
        <f aca="false">AB46</f>
        <v>Túnez</v>
      </c>
      <c r="J52" s="75" t="str">
        <f aca="false">VLOOKUP(2,AA50:AK53,2,0)</f>
        <v>Japón</v>
      </c>
      <c r="K52" s="76" t="n">
        <f aca="false">L52+M52+N52</f>
        <v>2</v>
      </c>
      <c r="L52" s="76" t="n">
        <f aca="false">VLOOKUP(2,AA50:AK53,3,0)</f>
        <v>1</v>
      </c>
      <c r="M52" s="76" t="n">
        <f aca="false">VLOOKUP(2,AA50:AK53,4,0)</f>
        <v>1</v>
      </c>
      <c r="N52" s="76" t="n">
        <f aca="false">VLOOKUP(2,AA50:AK53,5,0)</f>
        <v>0</v>
      </c>
      <c r="O52" s="76" t="str">
        <f aca="false">VLOOKUP(2,AA50:AK53,6,0) &amp; " - " &amp; VLOOKUP(2,AA50:AK53,7,0)</f>
        <v>4 - 3</v>
      </c>
      <c r="P52" s="77" t="n">
        <f aca="false">L52*3+M52</f>
        <v>4</v>
      </c>
      <c r="R52" s="40" t="n">
        <f aca="false">DATE(2018,6,28)+TIME(7,0,0)+gmt_delta</f>
        <v>43279.5833333333</v>
      </c>
      <c r="S52" s="41" t="str">
        <f aca="false">IF(OR(F52="",G52=""),"",IF(F52&gt;G52,E52&amp;"_win",IF(F52&lt;G52,E52&amp;"_lose",E52&amp;"_draw")))</f>
        <v/>
      </c>
      <c r="T52" s="41" t="str">
        <f aca="false">IF(S52="","",IF(F52&lt;G52,H52&amp;"_win",IF(F52&gt;G52,H52&amp;"_lose",H52&amp;"_draw")))</f>
        <v/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str">
        <f aca="false">IF(OR(F52="",G52=""),"",IF(F52&gt;G52,1,IF(F52&lt;G52,-1,0)))</f>
        <v/>
      </c>
      <c r="AA52" s="40" t="n">
        <f aca="false">COUNTIF(AN50:AN53,CONCATENATE("&gt;=",AN52))</f>
        <v>3</v>
      </c>
      <c r="AB52" s="42" t="str">
        <f aca="false">VLOOKUP("Colombia",T,lang,0)</f>
        <v>Colombia</v>
      </c>
      <c r="AC52" s="40" t="n">
        <f aca="false">COUNTIF($S$7:$T$54,"=" &amp; AB52 &amp; "_win")</f>
        <v>1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4</v>
      </c>
      <c r="AG52" s="40" t="n">
        <f aca="false">SUMIF($E$7:$E$54,$AB52,$G$7:$G$54) + SUMIF($H$7:$H$54,$AB52,$F$7:$F$54)</f>
        <v>2</v>
      </c>
      <c r="AH52" s="40" t="n">
        <f aca="false">(AF52-AG52)*100+AK52*10000+AF52</f>
        <v>30204</v>
      </c>
      <c r="AI52" s="40" t="n">
        <f aca="false">AF52-AG52</f>
        <v>2</v>
      </c>
      <c r="AJ52" s="40" t="n">
        <f aca="false">(AI52-AI55)/AI54</f>
        <v>0.857142857142857</v>
      </c>
      <c r="AK52" s="40" t="n">
        <f aca="false">AC52*3+AD52</f>
        <v>3</v>
      </c>
      <c r="AL52" s="40" t="n">
        <f aca="false">AP52/AP54*1000+AQ52/AQ54*100+AT52/AT54*10+AR52/AR54</f>
        <v>0</v>
      </c>
      <c r="AM52" s="40" t="n">
        <f aca="false">VLOOKUP(AB52,db_fifarank,2,0)/2000000</f>
        <v>0.000539</v>
      </c>
      <c r="AN52" s="42" t="n">
        <f aca="false">1000*AK52/AK54+100*AJ52+10*AF52/AF54+1*AL52/AL54+AM52</f>
        <v>695.714824714286</v>
      </c>
      <c r="AP52" s="44" t="n">
        <f aca="false">SUMPRODUCT(($S$7:$S$54=AB52&amp;"_win")*($U$7:$U$54))+SUMPRODUCT(($T$7:$T$54=AB52&amp;"_win")*($U$7:$U$54))</f>
        <v>0</v>
      </c>
      <c r="AQ52" s="44" t="n">
        <f aca="false">SUMPRODUCT(($S$7:$S$54=AB52&amp;"_draw")*($U$7:$U$54))+SUMPRODUCT(($T$7:$T$54=AB52&amp;"_draw")*($U$7:$U$54))</f>
        <v>0</v>
      </c>
      <c r="AR52" s="44" t="n">
        <f aca="false">SUMPRODUCT(($E$7:$E$54=AB52)*($U$7:$U$54)*($F$7:$F$54))+SUMPRODUCT(($H$7:$H$54=AB52)*($U$7:$U$54)*($G$7:$G$54))</f>
        <v>0</v>
      </c>
      <c r="AS52" s="44" t="n">
        <f aca="false">SUMPRODUCT(($E$7:$E$54=AB52)*($U$7:$U$54)*($G$7:$G$54))+SUMPRODUCT(($H$7:$H$54=AB52)*($U$7:$U$54)*($F$7:$F$54))</f>
        <v>0</v>
      </c>
      <c r="AT52" s="44" t="n">
        <f aca="false">AR52-AS52</f>
        <v>0</v>
      </c>
      <c r="AY52" s="103"/>
      <c r="AZ52" s="103"/>
      <c r="BA52" s="103"/>
      <c r="BB52" s="103"/>
    </row>
    <row r="53" customFormat="false" ht="15" hidden="false" customHeight="true" outlineLevel="0" collapsed="false">
      <c r="A53" s="59" t="n">
        <v>47</v>
      </c>
      <c r="B53" s="60" t="str">
        <f aca="false">INDEX(T,18+INT(MOD(R53-1,7)),lang)</f>
        <v>Thu</v>
      </c>
      <c r="C53" s="61" t="str">
        <f aca="false">INDEX(T,24+MONTH(R53),lang) &amp; " " &amp; DAY(R53) &amp; ", " &amp; YEAR(R53)</f>
        <v>Jun 28, 2018</v>
      </c>
      <c r="D53" s="62" t="n">
        <f aca="false">TIME(HOUR(R53),MINUTE(R53),0)</f>
        <v>0.416666666666667</v>
      </c>
      <c r="E53" s="63" t="str">
        <f aca="false">AB53</f>
        <v>Japón</v>
      </c>
      <c r="F53" s="64"/>
      <c r="G53" s="65"/>
      <c r="H53" s="66" t="str">
        <f aca="false">AB50</f>
        <v>Polonia</v>
      </c>
      <c r="J53" s="75" t="str">
        <f aca="false">VLOOKUP(3,AA50:AK53,2,0)</f>
        <v>Colombia</v>
      </c>
      <c r="K53" s="76" t="n">
        <f aca="false">L53+M53+N53</f>
        <v>2</v>
      </c>
      <c r="L53" s="76" t="n">
        <f aca="false">VLOOKUP(3,AA50:AK53,3,0)</f>
        <v>1</v>
      </c>
      <c r="M53" s="76" t="n">
        <f aca="false">VLOOKUP(3,AA50:AK53,4,0)</f>
        <v>0</v>
      </c>
      <c r="N53" s="76" t="n">
        <f aca="false">VLOOKUP(3,AA50:AK53,5,0)</f>
        <v>1</v>
      </c>
      <c r="O53" s="76" t="str">
        <f aca="false">VLOOKUP(3,AA50:AK53,6,0) &amp; " - " &amp; VLOOKUP(3,AA50:AK53,7,0)</f>
        <v>4 - 2</v>
      </c>
      <c r="P53" s="77" t="n">
        <f aca="false">L53*3+M53</f>
        <v>3</v>
      </c>
      <c r="R53" s="40" t="n">
        <f aca="false">DATE(2018,6,28)+TIME(3,0,0)+gmt_delta</f>
        <v>43279.4166666667</v>
      </c>
      <c r="S53" s="41" t="str">
        <f aca="false">IF(OR(F53="",G53=""),"",IF(F53&gt;G53,E53&amp;"_win",IF(F53&lt;G53,E53&amp;"_lose",E53&amp;"_draw")))</f>
        <v/>
      </c>
      <c r="T53" s="41" t="str">
        <f aca="false">IF(S53="","",IF(F53&lt;G53,H53&amp;"_win",IF(F53&gt;G53,H53&amp;"_lose",H53&amp;"_draw")))</f>
        <v/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str">
        <f aca="false">IF(OR(F53="",G53=""),"",IF(F53&gt;G53,1,IF(F53&lt;G53,-1,0)))</f>
        <v/>
      </c>
      <c r="AA53" s="40" t="n">
        <f aca="false">COUNTIF(AN50:AN53,CONCATENATE("&gt;=",AN53))</f>
        <v>2</v>
      </c>
      <c r="AB53" s="42" t="str">
        <f aca="false">VLOOKUP("Japan",T,lang,0)</f>
        <v>Japón</v>
      </c>
      <c r="AC53" s="40" t="n">
        <f aca="false">COUNTIF($S$7:$T$54,"=" &amp; AB53 &amp; "_win")</f>
        <v>1</v>
      </c>
      <c r="AD53" s="40" t="n">
        <f aca="false">COUNTIF($S$7:$T$54,"=" &amp; AB53 &amp; "_draw")</f>
        <v>1</v>
      </c>
      <c r="AE53" s="40" t="n">
        <f aca="false">COUNTIF($S$7:$T$54,"=" &amp; AB53 &amp; "_lose")</f>
        <v>0</v>
      </c>
      <c r="AF53" s="40" t="n">
        <f aca="false">SUMIF($E$7:$E$54,$AB53,$F$7:$F$54) + SUMIF($H$7:$H$54,$AB53,$G$7:$G$54)</f>
        <v>4</v>
      </c>
      <c r="AG53" s="40" t="n">
        <f aca="false">SUMIF($E$7:$E$54,$AB53,$G$7:$G$54) + SUMIF($H$7:$H$54,$AB53,$F$7:$F$54)</f>
        <v>3</v>
      </c>
      <c r="AH53" s="40" t="n">
        <f aca="false">(AF53-AG53)*100+AK53*10000+AF53</f>
        <v>40104</v>
      </c>
      <c r="AI53" s="40" t="n">
        <f aca="false">AF53-AG53</f>
        <v>1</v>
      </c>
      <c r="AJ53" s="40" t="n">
        <f aca="false">(AI53-AI55)/AI54</f>
        <v>0.714285714285714</v>
      </c>
      <c r="AK53" s="40" t="n">
        <f aca="false">AC53*3+AD53</f>
        <v>4</v>
      </c>
      <c r="AL53" s="40" t="n">
        <f aca="false">AP53/AP54*1000+AQ53/AQ54*100+AT53/AT54*10+AR53/AR54</f>
        <v>50.6666666666667</v>
      </c>
      <c r="AM53" s="40" t="n">
        <f aca="false">VLOOKUP(AB53,db_fifarank,2,0)/2000000</f>
        <v>0.0003</v>
      </c>
      <c r="AN53" s="42" t="n">
        <f aca="false">1000*AK53/AK54+100*AJ53+10*AF53/AF54+1*AL53/AL54+AM53</f>
        <v>882.409516589862</v>
      </c>
      <c r="AP53" s="44" t="n">
        <f aca="false">SUMPRODUCT(($S$7:$S$54=AB53&amp;"_win")*($U$7:$U$54))+SUMPRODUCT(($T$7:$T$54=AB53&amp;"_win")*($U$7:$U$54))</f>
        <v>0</v>
      </c>
      <c r="AQ53" s="44" t="n">
        <f aca="false">SUMPRODUCT(($S$7:$S$54=AB53&amp;"_draw")*($U$7:$U$54))+SUMPRODUCT(($T$7:$T$54=AB53&amp;"_draw")*($U$7:$U$54))</f>
        <v>1</v>
      </c>
      <c r="AR53" s="44" t="n">
        <f aca="false">SUMPRODUCT(($E$7:$E$54=AB53)*($U$7:$U$54)*($F$7:$F$54))+SUMPRODUCT(($H$7:$H$54=AB53)*($U$7:$U$54)*($G$7:$G$54))</f>
        <v>2</v>
      </c>
      <c r="AS53" s="44" t="n">
        <f aca="false">SUMPRODUCT(($E$7:$E$54=AB53)*($U$7:$U$54)*($G$7:$G$54))+SUMPRODUCT(($H$7:$H$54=AB53)*($U$7:$U$54)*($F$7:$F$54))</f>
        <v>2</v>
      </c>
      <c r="AT53" s="44" t="n">
        <f aca="false">AR53-AS53</f>
        <v>0</v>
      </c>
    </row>
    <row r="54" customFormat="false" ht="15" hidden="false" customHeight="true" outlineLevel="0" collapsed="false">
      <c r="A54" s="104" t="n">
        <v>48</v>
      </c>
      <c r="B54" s="105" t="str">
        <f aca="false">INDEX(T,18+INT(MOD(R54-1,7)),lang)</f>
        <v>Thu</v>
      </c>
      <c r="C54" s="106" t="str">
        <f aca="false">INDEX(T,24+MONTH(R54),lang) &amp; " " &amp; DAY(R54) &amp; ", " &amp; YEAR(R54)</f>
        <v>Jun 28, 2018</v>
      </c>
      <c r="D54" s="107" t="n">
        <f aca="false">TIME(HOUR(R54),MINUTE(R54),0)</f>
        <v>0.416666666666667</v>
      </c>
      <c r="E54" s="108" t="str">
        <f aca="false">AB51</f>
        <v>Senegal</v>
      </c>
      <c r="F54" s="83"/>
      <c r="G54" s="84"/>
      <c r="H54" s="109" t="str">
        <f aca="false">AB52</f>
        <v>Colombia</v>
      </c>
      <c r="J54" s="87" t="str">
        <f aca="false">VLOOKUP(4,AA50:AK53,2,0)</f>
        <v>Polonia</v>
      </c>
      <c r="K54" s="88" t="n">
        <f aca="false">L54+M54+N54</f>
        <v>2</v>
      </c>
      <c r="L54" s="88" t="n">
        <f aca="false">VLOOKUP(4,AA50:AK53,3,0)</f>
        <v>0</v>
      </c>
      <c r="M54" s="88" t="n">
        <f aca="false">VLOOKUP(4,AA50:AK53,4,0)</f>
        <v>0</v>
      </c>
      <c r="N54" s="88" t="n">
        <f aca="false">VLOOKUP(4,AA50:AK53,5,0)</f>
        <v>2</v>
      </c>
      <c r="O54" s="88" t="str">
        <f aca="false">VLOOKUP(4,AA50:AK53,6,0) &amp; " - " &amp; VLOOKUP(4,AA50:AK53,7,0)</f>
        <v>1 - 5</v>
      </c>
      <c r="P54" s="89" t="n">
        <f aca="false">L54*3+M54</f>
        <v>0</v>
      </c>
      <c r="R54" s="40" t="n">
        <f aca="false">DATE(2018,6,28)+TIME(3,0,0)+gmt_delta</f>
        <v>43279.4166666667</v>
      </c>
      <c r="S54" s="41" t="str">
        <f aca="false">IF(OR(F54="",G54=""),"",IF(F54&gt;G54,E54&amp;"_win",IF(F54&lt;G54,E54&amp;"_lose",E54&amp;"_draw")))</f>
        <v/>
      </c>
      <c r="T54" s="41" t="str">
        <f aca="false">IF(S54="","",IF(F54&lt;G54,H54&amp;"_win",IF(F54&gt;G54,H54&amp;"_lose",H54&amp;"_draw")))</f>
        <v/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str">
        <f aca="false">IF(OR(F54="",G54=""),"",IF(F54&gt;G54,1,IF(F54&lt;G54,-1,0)))</f>
        <v/>
      </c>
      <c r="AC54" s="40" t="n">
        <f aca="false">MAX(AC50:AC53)-MIN(AC50:AC53)+1</f>
        <v>2</v>
      </c>
      <c r="AD54" s="40" t="n">
        <f aca="false">MAX(AD50:AD53)-MIN(AD50:AD53)+1</f>
        <v>2</v>
      </c>
      <c r="AE54" s="40" t="n">
        <f aca="false">MAX(AE50:AE53)-MIN(AE50:AE53)+1</f>
        <v>3</v>
      </c>
      <c r="AF54" s="40" t="n">
        <f aca="false">MAX(AF50:AF53)-MIN(AF50:AF53)+1</f>
        <v>4</v>
      </c>
      <c r="AG54" s="40" t="n">
        <f aca="false">MAX(AG50:AG53)-MIN(AG50:AG53)+1</f>
        <v>4</v>
      </c>
      <c r="AH54" s="40" t="n">
        <f aca="false">MAX(AH50:AH53)-AH55+1</f>
        <v>40504</v>
      </c>
      <c r="AI54" s="40" t="n">
        <f aca="false">MAX(AI50:AI53)-AI55+1</f>
        <v>7</v>
      </c>
      <c r="AK54" s="40" t="n">
        <f aca="false">MAX(AK50:AK53)-MIN(AK50:AK53)+1</f>
        <v>5</v>
      </c>
      <c r="AL54" s="40" t="n">
        <f aca="false">MAX(AL50:AL53)-MIN(AL50:AL53)+1</f>
        <v>51.6666666666667</v>
      </c>
      <c r="AP54" s="40" t="n">
        <f aca="false">MAX(AP50:AP53)-MIN(AP50:AP53)+1</f>
        <v>1</v>
      </c>
      <c r="AQ54" s="40" t="n">
        <f aca="false">MAX(AQ50:AQ53)-MIN(AQ50:AQ53)+1</f>
        <v>2</v>
      </c>
      <c r="AR54" s="40" t="n">
        <f aca="false">MAX(AR50:AR53)-MIN(AR50:AR53)+1</f>
        <v>3</v>
      </c>
      <c r="AS54" s="40" t="n">
        <f aca="false">MAX(AS50:AS53)-MIN(AS50:AS53)+1</f>
        <v>3</v>
      </c>
      <c r="AT54" s="40" t="n">
        <f aca="false">MAX(AT50:AT53)-MIN(AT50:AT53)+1</f>
        <v>1</v>
      </c>
    </row>
    <row r="55" customFormat="false" ht="15" hidden="false" customHeight="false" outlineLevel="0" collapsed="false">
      <c r="A55" s="92"/>
      <c r="B55" s="110"/>
      <c r="C55" s="92"/>
      <c r="D55" s="111"/>
      <c r="E55" s="112"/>
      <c r="F55" s="113"/>
      <c r="G55" s="113"/>
      <c r="H55" s="114"/>
      <c r="J55" s="91"/>
      <c r="K55" s="92"/>
      <c r="L55" s="92"/>
      <c r="M55" s="92"/>
      <c r="N55" s="92"/>
      <c r="O55" s="92"/>
      <c r="P55" s="92"/>
      <c r="AH55" s="40" t="n">
        <f aca="false">MIN(AH50:AH53)</f>
        <v>-399</v>
      </c>
      <c r="AI55" s="40" t="n">
        <f aca="false">MIN(AI50:AI53)</f>
        <v>-4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5" hidden="false" customHeight="false" outlineLevel="0" collapsed="false">
      <c r="R58" s="40" t="n">
        <f aca="false">DATE(2018,6,30)+TIME(7,0,0)+gmt_delta</f>
        <v>43281.5833333333</v>
      </c>
      <c r="S58" s="41" t="str">
        <f aca="false">IF(OR(BA10="",BA11=""),"",IF(BA10&gt;BA11,AZ10,IF(BA10&lt;BA11,AZ11,IF(OR(BB10="",BB11=""),"draw",IF(BB10&gt;BB11,AZ10,IF(BB10&lt;BB11,AZ11,"draw"))))))</f>
        <v/>
      </c>
      <c r="T58" s="41" t="str">
        <f aca="false">IF(OR(S58="",S58="draw"),INDEX(T,86,lang),S58)</f>
        <v>W49</v>
      </c>
    </row>
    <row r="59" customFormat="false" ht="12.75" hidden="false" customHeight="true" outlineLevel="0" collapsed="false">
      <c r="R59" s="40" t="n">
        <f aca="false">DATE(2018,6,30)+TIME(3,0,0)+gmt_delta</f>
        <v>43281.4166666667</v>
      </c>
      <c r="S59" s="41" t="str">
        <f aca="false">IF(OR(BA14="",BA15=""),"",IF(BA14&gt;BA15,AZ14,IF(BA14&lt;BA15,AZ15,IF(OR(BB14="",BB15=""),"draw",IF(BB14&gt;BB15,AZ14,IF(BB14&lt;BB15,AZ15,"draw"))))))</f>
        <v/>
      </c>
      <c r="T59" s="41" t="str">
        <f aca="false">IF(OR(S59="",S59="draw"),INDEX(T,87,lang),S59)</f>
        <v>W50</v>
      </c>
    </row>
    <row r="60" customFormat="false" ht="12.75" hidden="false" customHeight="true" outlineLevel="0" collapsed="false">
      <c r="R60" s="40" t="n">
        <f aca="false">DATE(2018,7,1)+TIME(3,0,0)+gmt_delta</f>
        <v>43282.4166666667</v>
      </c>
      <c r="S60" s="41" t="str">
        <f aca="false">IF(OR(BA26="",BA27=""),"",IF(BA26&gt;BA27,AZ26,IF(BA26&lt;BA27,AZ27,IF(OR(BB26="",BB27=""),"draw",IF(BB26&gt;BB27,AZ26,IF(BB26&lt;BB27,AZ27,"draw"))))))</f>
        <v/>
      </c>
      <c r="T60" s="41" t="str">
        <f aca="false">IF(OR(S60="",S60="draw"),INDEX(T,88,lang),S60)</f>
        <v>W51</v>
      </c>
    </row>
    <row r="61" customFormat="false" ht="12.75" hidden="false" customHeight="true" outlineLevel="0" collapsed="false">
      <c r="R61" s="40" t="n">
        <f aca="false">DATE(2018,7,1)+TIME(7,0,0)+gmt_delta</f>
        <v>43282.5833333333</v>
      </c>
      <c r="S61" s="41" t="str">
        <f aca="false">IF(OR(BA30="",BA31=""),"",IF(BA30&gt;BA31,AZ30,IF(BA30&lt;BA31,AZ31,IF(OR(BB30="",BB31=""),"draw",IF(BB30&gt;BB31,AZ30,IF(BB30&lt;BB31,AZ31,"draw"))))))</f>
        <v/>
      </c>
      <c r="T61" s="41" t="str">
        <f aca="false">IF(OR(S61="",S61="draw"),INDEX(T,89,lang),S61)</f>
        <v>W52</v>
      </c>
    </row>
    <row r="62" customFormat="false" ht="12.75" hidden="false" customHeight="true" outlineLevel="0" collapsed="false">
      <c r="R62" s="40" t="n">
        <f aca="false">DATE(2018,7,2)+TIME(3,0,0)+gmt_delta</f>
        <v>43283.4166666667</v>
      </c>
      <c r="S62" s="41" t="str">
        <f aca="false">IF(OR(BA18="",BA19=""),"",IF(BA18&gt;BA19,AZ18,IF(BA18&lt;BA19,AZ19,IF(OR(BB18="",BB19=""),"draw",IF(BB18&gt;BB19,AZ18,IF(BB18&lt;BB19,AZ19,"draw"))))))</f>
        <v/>
      </c>
      <c r="T62" s="41" t="str">
        <f aca="false">IF(OR(S62="",S62="draw"),INDEX(T,90,lang),S62)</f>
        <v>W53</v>
      </c>
    </row>
    <row r="63" customFormat="false" ht="12.75" hidden="false" customHeight="true" outlineLevel="0" collapsed="false">
      <c r="R63" s="40" t="n">
        <f aca="false">DATE(2018,7,2)+TIME(7,0,0)+gmt_delta</f>
        <v>43283.5833333333</v>
      </c>
      <c r="S63" s="41" t="str">
        <f aca="false">IF(OR(BA22="",BA23=""),"",IF(BA22&gt;BA23,AZ22,IF(BA22&lt;BA23,AZ23,IF(OR(BB22="",BB23=""),"draw",IF(BB22&gt;BB23,AZ22,IF(BB22&lt;BB23,AZ23,"draw"))))))</f>
        <v/>
      </c>
      <c r="T63" s="41" t="str">
        <f aca="false">IF(OR(S63="",S63="draw"),INDEX(T,91,lang),S63)</f>
        <v>W54</v>
      </c>
    </row>
    <row r="64" customFormat="false" ht="12.75" hidden="false" customHeight="true" outlineLevel="0" collapsed="false">
      <c r="R64" s="40" t="n">
        <f aca="false">DATE(2018,7,3)+TIME(3,0,0)+gmt_delta</f>
        <v>43284.4166666667</v>
      </c>
      <c r="S64" s="41" t="str">
        <f aca="false">IF(OR(BA34="",BA35=""),"",IF(BA34&gt;BA35,AZ34,IF(BA34&lt;BA35,AZ35,IF(OR(BB34="",BB35=""),"draw",IF(BB34&gt;BB35,AZ34,IF(BB34&lt;BB35,AZ35,"draw"))))))</f>
        <v/>
      </c>
      <c r="T64" s="41" t="str">
        <f aca="false">IF(OR(S64="",S64="draw"),INDEX(T,92,lang),S64)</f>
        <v>W55</v>
      </c>
    </row>
    <row r="65" customFormat="false" ht="12.75" hidden="false" customHeight="true" outlineLevel="0" collapsed="false">
      <c r="R65" s="40" t="n">
        <f aca="false">DATE(2018,7,3)+TIME(7,0,0)+gmt_delta</f>
        <v>43284.5833333333</v>
      </c>
      <c r="S65" s="41" t="str">
        <f aca="false">IF(OR(BA38="",BA39=""),"",IF(BA38&gt;BA39,AZ38,IF(BA38&lt;BA39,AZ39,IF(OR(BB38="",BB39=""),"draw",IF(BB38&gt;BB39,AZ38,IF(BB38&lt;BB39,AZ39,"draw"))))))</f>
        <v/>
      </c>
      <c r="T65" s="41" t="str">
        <f aca="false">IF(OR(S65="",S65="draw"),INDEX(T,93,lang),S65)</f>
        <v>W56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DATE(2018,7,6)+TIME(3,0,0)+gmt_delta</f>
        <v>43287.4166666667</v>
      </c>
      <c r="S69" s="41" t="str">
        <f aca="false">IF(OR(BG12="",BG13=""),"",IF(BG12&gt;BG13,BF12,IF(BG12&lt;BG13,BF13,IF(OR(BH12="",BH13=""),"draw",IF(BH12&gt;BH13,BF12,IF(BH12&lt;BH13,BF13,"draw"))))))</f>
        <v/>
      </c>
      <c r="T69" s="41" t="str">
        <f aca="false">IF(OR(S69="",S69="draw"),INDEX(T,94,lang),S69)</f>
        <v>W57</v>
      </c>
    </row>
    <row r="70" customFormat="false" ht="12.75" hidden="false" customHeight="true" outlineLevel="0" collapsed="false">
      <c r="R70" s="40" t="n">
        <f aca="false">DATE(2018,7,6)+TIME(7,0,0)+gmt_delta</f>
        <v>43287.5833333333</v>
      </c>
      <c r="S70" s="41" t="str">
        <f aca="false">IF(OR(BG20="",BG21=""),"",IF(BG20&gt;BG21,BF20,IF(BG20&lt;BG21,BF21,IF(OR(BH20="",BH21=""),"draw",IF(BH20&gt;BH21,BF20,IF(BH20&lt;BH21,BF21,"draw"))))))</f>
        <v/>
      </c>
      <c r="T70" s="41" t="str">
        <f aca="false">IF(OR(S70="",S70="draw"),INDEX(T,95,lang),S70)</f>
        <v>W58</v>
      </c>
    </row>
    <row r="71" customFormat="false" ht="12.75" hidden="false" customHeight="true" outlineLevel="0" collapsed="false">
      <c r="R71" s="40" t="n">
        <f aca="false">DATE(2018,7,7)+TIME(3,0,0)+gmt_delta</f>
        <v>43288.4166666667</v>
      </c>
      <c r="S71" s="41" t="str">
        <f aca="false">IF(OR(BG28="",BG29=""),"",IF(BG28&gt;BG29,BF28,IF(BG28&lt;BG29,BF29,IF(OR(BH28="",BH29=""),"draw",IF(BH28&gt;BH29,BF28,IF(BH28&lt;BH29,BF29,"draw"))))))</f>
        <v/>
      </c>
      <c r="T71" s="41" t="str">
        <f aca="false">IF(OR(S71="",S71="draw"),INDEX(T,96,lang),S71)</f>
        <v>W59</v>
      </c>
    </row>
    <row r="72" customFormat="false" ht="12.75" hidden="false" customHeight="true" outlineLevel="0" collapsed="false">
      <c r="R72" s="40" t="n">
        <f aca="false">DATE(2018,7,7)+TIME(7,0,0)+gmt_delta</f>
        <v>43288.5833333333</v>
      </c>
      <c r="S72" s="41" t="str">
        <f aca="false">IF(OR(BG36="",BG37=""),"",IF(BG36&gt;BG37,BF36,IF(BG36&lt;BG37,BF37,IF(OR(BH36="",BH37=""),"draw",IF(BH36&gt;BH37,BF36,IF(BH36&lt;BH37,BF37,"draw"))))))</f>
        <v/>
      </c>
      <c r="T72" s="41" t="str">
        <f aca="false">IF(OR(S72="",S72="draw"),INDEX(T,97,lang),S72)</f>
        <v>W60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DATE(2018,7,10)+TIME(7,0,0)+gmt_delta</f>
        <v>43291.5833333333</v>
      </c>
      <c r="S76" s="41" t="str">
        <f aca="false">IF(OR(BM16="",BM17=""),"",IF(BM16&gt;BM17,BL16,IF(BM16&lt;BM17,BL17,IF(OR(BN16="",BN17=""),"draw",IF(BN16&gt;BN17,BL16,IF(BN16&lt;BN17,BL17,"draw"))))))</f>
        <v/>
      </c>
      <c r="T76" s="41" t="str">
        <f aca="false">IF(OR(S76="",S76="draw"),INDEX(T,98,lang),S76)</f>
        <v>W61</v>
      </c>
      <c r="U76" s="41" t="str">
        <f aca="false">IF(OR(BM16="",BM17=""),"",IF(BM16&lt;BM17,BL16,IF(BM16&gt;BM17,BL17,IF(OR(BN16="",BN17=""),"draw",IF(BN16&lt;BN17,BL16,IF(BN16&gt;BN17,BL17,"draw"))))))</f>
        <v/>
      </c>
      <c r="Z76" s="41" t="str">
        <f aca="false">IF(OR(U76="",U76="draw"),INDEX(T,100,lang),U76)</f>
        <v>L61</v>
      </c>
    </row>
    <row r="77" customFormat="false" ht="12.75" hidden="false" customHeight="true" outlineLevel="0" collapsed="false">
      <c r="R77" s="40" t="n">
        <f aca="false">DATE(2018,7,11)+TIME(7,0,0)+gmt_delta</f>
        <v>43292.5833333333</v>
      </c>
      <c r="S77" s="41" t="str">
        <f aca="false">IF(OR(BM32="",BM33=""),"",IF(BM32&gt;BM33,BL32,IF(BM32&lt;BM33,BL33,IF(OR(BN32="",BN33=""),"draw",IF(BN32&gt;BN33,BL32,IF(BN32&lt;BN33,BL33,"draw"))))))</f>
        <v/>
      </c>
      <c r="T77" s="41" t="str">
        <f aca="false">IF(OR(S77="",S77="draw"),INDEX(T,99,lang),S77)</f>
        <v>W62</v>
      </c>
      <c r="U77" s="41" t="str">
        <f aca="false">IF(OR(BM32="",BM33=""),"",IF(BM32&lt;BM33,BL32,IF(BM32&gt;BM33,BL33,IF(OR(BN32="",BN33=""),"draw",IF(BN32&lt;BN33,BL32,IF(BN32&gt;BN33,BL33,"draw"))))))</f>
        <v/>
      </c>
      <c r="Z77" s="41" t="str">
        <f aca="false">IF(OR(U77="",U77="draw"),INDEX(T,101,lang),U77)</f>
        <v>L62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5" hidden="false" customHeight="false" outlineLevel="0" collapsed="false">
      <c r="R81" s="40" t="n">
        <f aca="false">DATE(2018,7,14)+TIME(3,0,0)+gmt_delta</f>
        <v>43295.4166666667</v>
      </c>
      <c r="T81" s="41" t="str">
        <f aca="false">IF(OR(BS35="",BS36=""),"",IF(BS35&gt;BS36,BR35,IF(BS35&lt;BS36,BR36,IF(OR(BT35="",BT36=""),"",IF(BT35&gt;BT36,BR35,IF(BT35&lt;BT36,BR36,""))))))</f>
        <v/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5" hidden="false" customHeight="false" outlineLevel="0" collapsed="false">
      <c r="R85" s="40" t="n">
        <f aca="false">DATE(2018,7,15)+TIME(4,0,0)+gmt_delta</f>
        <v>43296.4583333333</v>
      </c>
      <c r="S85" s="41" t="str">
        <f aca="false">IF(OR(BS23="",BS24=""),"",IF(BS23&gt;BS24,BR23,IF(BS23&lt;BS24,BR24,IF(OR(BT23="",BT24=""),"",IF(BT23&gt;BT24,BR23,IF(BT23&lt;BT24,BR24,""))))))</f>
        <v/>
      </c>
      <c r="T85" s="41" t="str">
        <f aca="false">S85</f>
        <v/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 BA14 BA34 BA38 BA26 BA30 BA18 BA22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 BA15 BA35 BA39 BA27 BA31 BA19 BA23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B10 BB14 BB34 BB38 BB26 BB30 BB18 BB22">
    <cfRule type="expression" priority="10" aboveAverage="0" equalAverage="0" bottom="0" percent="0" rank="0" text="" dxfId="8">
      <formula>IF(AND($BB10&gt;$BB11,ISNUMBER($BB10),ISNUMBER($BB11)),1,0)</formula>
    </cfRule>
  </conditionalFormatting>
  <conditionalFormatting sqref="BB11 BB15 BB35 BB39 BB27 BB31 BB19 BB23">
    <cfRule type="expression" priority="11" aboveAverage="0" equalAverage="0" bottom="0" percent="0" rank="0" text="" dxfId="9">
      <formula>IF(AND($BB10&lt;$BB11,ISNUMBER($BB10),ISNUMBER($BB11)),1,0)</formula>
    </cfRule>
  </conditionalFormatting>
  <conditionalFormatting sqref="BG12 BG20 BG28 BG36">
    <cfRule type="expression" priority="12" aboveAverage="0" equalAverage="0" bottom="0" percent="0" rank="0" text="" dxfId="10">
      <formula>IF(AND($BG12&gt;$BG13,ISNUMBER($BG12),ISNUMBER($BG13)),1,0)</formula>
    </cfRule>
  </conditionalFormatting>
  <conditionalFormatting sqref="BG13 BG21 BG29 BG37">
    <cfRule type="expression" priority="13" aboveAverage="0" equalAverage="0" bottom="0" percent="0" rank="0" text="" dxfId="11">
      <formula>IF(AND($BG12&lt;$BG13,ISNUMBER($BG12),ISNUMBER($BG13)),1,0)</formula>
    </cfRule>
  </conditionalFormatting>
  <conditionalFormatting sqref="BH12 BH20 BH28 BH36">
    <cfRule type="expression" priority="14" aboveAverage="0" equalAverage="0" bottom="0" percent="0" rank="0" text="" dxfId="12">
      <formula>IF(AND($BH12&gt;$BH13,ISNUMBER($BH12),ISNUMBER($BH13)),1,0)</formula>
    </cfRule>
  </conditionalFormatting>
  <conditionalFormatting sqref="BH13 BH21 BH29 BH37">
    <cfRule type="expression" priority="15" aboveAverage="0" equalAverage="0" bottom="0" percent="0" rank="0" text="" dxfId="13">
      <formula>IF(AND($BH12&lt;$BH13,ISNUMBER($BH12),ISNUMBER($BH13)),1,0)</formula>
    </cfRule>
  </conditionalFormatting>
  <conditionalFormatting sqref="BM16 BM32">
    <cfRule type="expression" priority="16" aboveAverage="0" equalAverage="0" bottom="0" percent="0" rank="0" text="" dxfId="14">
      <formula>IF(AND($BM16&gt;$BM17,ISNUMBER($BM16),ISNUMBER($BM17)),1,0)</formula>
    </cfRule>
  </conditionalFormatting>
  <conditionalFormatting sqref="BM17 BM33">
    <cfRule type="expression" priority="17" aboveAverage="0" equalAverage="0" bottom="0" percent="0" rank="0" text="" dxfId="15">
      <formula>IF(AND($BM16&lt;$BM17,ISNUMBER($BM16),ISNUMBER($BM17)),1,0)</formula>
    </cfRule>
  </conditionalFormatting>
  <conditionalFormatting sqref="BN16 BN32">
    <cfRule type="expression" priority="18" aboveAverage="0" equalAverage="0" bottom="0" percent="0" rank="0" text="" dxfId="16">
      <formula>IF(AND($BN16&gt;$BN17,ISNUMBER($BN16),ISNUMBER($BN17)),1,0)</formula>
    </cfRule>
  </conditionalFormatting>
  <conditionalFormatting sqref="BN17 BN33">
    <cfRule type="expression" priority="19" aboveAverage="0" equalAverage="0" bottom="0" percent="0" rank="0" text="" dxfId="17">
      <formula>IF(AND($BN16&lt;$BN17,ISNUMBER($BN16),ISNUMBER($BN17)),1,0)</formula>
    </cfRule>
  </conditionalFormatting>
  <conditionalFormatting sqref="BS23 BS35">
    <cfRule type="expression" priority="20" aboveAverage="0" equalAverage="0" bottom="0" percent="0" rank="0" text="" dxfId="18">
      <formula>IF(AND($BS23&gt;$BS24,ISNUMBER($BS23),ISNUMBER($BS24)),1,0)</formula>
    </cfRule>
  </conditionalFormatting>
  <conditionalFormatting sqref="BS24 BS36">
    <cfRule type="expression" priority="21" aboveAverage="0" equalAverage="0" bottom="0" percent="0" rank="0" text="" dxfId="19">
      <formula>IF(AND($BS23&lt;$BS24,ISNUMBER($BS23),ISNUMBER($BS24)),1,0)</formula>
    </cfRule>
  </conditionalFormatting>
  <conditionalFormatting sqref="BT23 BT35">
    <cfRule type="expression" priority="22" aboveAverage="0" equalAverage="0" bottom="0" percent="0" rank="0" text="" dxfId="20">
      <formula>IF(AND($BT23&gt;$BT24,ISNUMBER($BT23),ISNUMBER($BT24)),1,0)</formula>
    </cfRule>
  </conditionalFormatting>
  <conditionalFormatting sqref="BT24 BT36">
    <cfRule type="expression" priority="23" aboveAverage="0" equalAverage="0" bottom="0" percent="0" rank="0" text="" dxfId="21">
      <formula>IF(AND($BT23&lt;$BT24,ISNUMBER($BT23),ISNUMBER($BT24)),1,0)</formula>
    </cfRule>
  </conditionalFormatting>
  <conditionalFormatting sqref="AZ10">
    <cfRule type="expression" priority="24" aboveAverage="0" equalAverage="0" bottom="0" percent="0" rank="0" text="" dxfId="22">
      <formula>IF($AZ10=$T58,1,0)</formula>
    </cfRule>
    <cfRule type="expression" priority="25" aboveAverage="0" equalAverage="0" bottom="0" percent="0" rank="0" text="" dxfId="23">
      <formula>IF($AZ11=$T58,1,0)</formula>
    </cfRule>
  </conditionalFormatting>
  <conditionalFormatting sqref="AZ11">
    <cfRule type="expression" priority="26" aboveAverage="0" equalAverage="0" bottom="0" percent="0" rank="0" text="" dxfId="24">
      <formula>IF($AZ11=$T58,1,0)</formula>
    </cfRule>
    <cfRule type="expression" priority="27" aboveAverage="0" equalAverage="0" bottom="0" percent="0" rank="0" text="" dxfId="25">
      <formula>IF($AZ10=$T58,1,0)</formula>
    </cfRule>
  </conditionalFormatting>
  <conditionalFormatting sqref="AZ14">
    <cfRule type="expression" priority="28" aboveAverage="0" equalAverage="0" bottom="0" percent="0" rank="0" text="" dxfId="26">
      <formula>IF($AZ14=$T59,1,0)</formula>
    </cfRule>
    <cfRule type="expression" priority="29" aboveAverage="0" equalAverage="0" bottom="0" percent="0" rank="0" text="" dxfId="27">
      <formula>IF($AZ15=$T59,1,0)</formula>
    </cfRule>
  </conditionalFormatting>
  <conditionalFormatting sqref="AZ15">
    <cfRule type="expression" priority="30" aboveAverage="0" equalAverage="0" bottom="0" percent="0" rank="0" text="" dxfId="28">
      <formula>IF($AZ15=$T59,1,0)</formula>
    </cfRule>
    <cfRule type="expression" priority="31" aboveAverage="0" equalAverage="0" bottom="0" percent="0" rank="0" text="" dxfId="29">
      <formula>IF($AZ14=$T59,1,0)</formula>
    </cfRule>
  </conditionalFormatting>
  <conditionalFormatting sqref="AZ34">
    <cfRule type="expression" priority="32" aboveAverage="0" equalAverage="0" bottom="0" percent="0" rank="0" text="" dxfId="30">
      <formula>IF($AZ34=$T64,1,0)</formula>
    </cfRule>
    <cfRule type="expression" priority="33" aboveAverage="0" equalAverage="0" bottom="0" percent="0" rank="0" text="" dxfId="31">
      <formula>IF($AZ35=$T64,1,0)</formula>
    </cfRule>
  </conditionalFormatting>
  <conditionalFormatting sqref="AZ35">
    <cfRule type="expression" priority="34" aboveAverage="0" equalAverage="0" bottom="0" percent="0" rank="0" text="" dxfId="32">
      <formula>IF($AZ35=$T64,1,0)</formula>
    </cfRule>
    <cfRule type="expression" priority="35" aboveAverage="0" equalAverage="0" bottom="0" percent="0" rank="0" text="" dxfId="33">
      <formula>IF($AZ34=$T64,1,0)</formula>
    </cfRule>
  </conditionalFormatting>
  <conditionalFormatting sqref="AZ38">
    <cfRule type="expression" priority="36" aboveAverage="0" equalAverage="0" bottom="0" percent="0" rank="0" text="" dxfId="34">
      <formula>IF($AZ38=$T65,1,0)</formula>
    </cfRule>
    <cfRule type="expression" priority="37" aboveAverage="0" equalAverage="0" bottom="0" percent="0" rank="0" text="" dxfId="35">
      <formula>IF($AZ39=$T65,1,0)</formula>
    </cfRule>
  </conditionalFormatting>
  <conditionalFormatting sqref="AZ39">
    <cfRule type="expression" priority="38" aboveAverage="0" equalAverage="0" bottom="0" percent="0" rank="0" text="" dxfId="36">
      <formula>IF($AZ39=$T65,1,0)</formula>
    </cfRule>
    <cfRule type="expression" priority="39" aboveAverage="0" equalAverage="0" bottom="0" percent="0" rank="0" text="" dxfId="37">
      <formula>IF($AZ38=$T65,1,0)</formula>
    </cfRule>
  </conditionalFormatting>
  <conditionalFormatting sqref="AZ26">
    <cfRule type="expression" priority="40" aboveAverage="0" equalAverage="0" bottom="0" percent="0" rank="0" text="" dxfId="38">
      <formula>IF($AZ26=$T60,1,0)</formula>
    </cfRule>
    <cfRule type="expression" priority="41" aboveAverage="0" equalAverage="0" bottom="0" percent="0" rank="0" text="" dxfId="39">
      <formula>IF($AZ27=$T60,а,0)</formula>
    </cfRule>
  </conditionalFormatting>
  <conditionalFormatting sqref="AZ27">
    <cfRule type="expression" priority="42" aboveAverage="0" equalAverage="0" bottom="0" percent="0" rank="0" text="" dxfId="40">
      <formula>IF($AZ27=$T60,1,0)</formula>
    </cfRule>
    <cfRule type="expression" priority="43" aboveAverage="0" equalAverage="0" bottom="0" percent="0" rank="0" text="" dxfId="41">
      <formula>IF($AZ26=$T60,1,0)</formula>
    </cfRule>
  </conditionalFormatting>
  <conditionalFormatting sqref="AZ30">
    <cfRule type="expression" priority="44" aboveAverage="0" equalAverage="0" bottom="0" percent="0" rank="0" text="" dxfId="42">
      <formula>IF($AZ30=$T61,1,0)</formula>
    </cfRule>
    <cfRule type="expression" priority="45" aboveAverage="0" equalAverage="0" bottom="0" percent="0" rank="0" text="" dxfId="43">
      <formula>IF($AZ31=$T61,1,0)</formula>
    </cfRule>
  </conditionalFormatting>
  <conditionalFormatting sqref="AZ31">
    <cfRule type="expression" priority="46" aboveAverage="0" equalAverage="0" bottom="0" percent="0" rank="0" text="" dxfId="44">
      <formula>IF($AZ31=$T61,1,0)</formula>
    </cfRule>
    <cfRule type="expression" priority="47" aboveAverage="0" equalAverage="0" bottom="0" percent="0" rank="0" text="" dxfId="45">
      <formula>IF($AZ30=$T61,1,0)</formula>
    </cfRule>
  </conditionalFormatting>
  <conditionalFormatting sqref="AZ18">
    <cfRule type="expression" priority="48" aboveAverage="0" equalAverage="0" bottom="0" percent="0" rank="0" text="" dxfId="46">
      <formula>IF($AZ18=$T62,1,0)</formula>
    </cfRule>
    <cfRule type="expression" priority="49" aboveAverage="0" equalAverage="0" bottom="0" percent="0" rank="0" text="" dxfId="47">
      <formula>IF($AZ19=$T62,1,0)</formula>
    </cfRule>
  </conditionalFormatting>
  <conditionalFormatting sqref="AZ19">
    <cfRule type="expression" priority="50" aboveAverage="0" equalAverage="0" bottom="0" percent="0" rank="0" text="" dxfId="48">
      <formula>IF($AZ19=$T62,1,0)</formula>
    </cfRule>
    <cfRule type="expression" priority="51" aboveAverage="0" equalAverage="0" bottom="0" percent="0" rank="0" text="" dxfId="49">
      <formula>IF($AZ18=$T62,1,0)</formula>
    </cfRule>
  </conditionalFormatting>
  <conditionalFormatting sqref="AZ22">
    <cfRule type="expression" priority="52" aboveAverage="0" equalAverage="0" bottom="0" percent="0" rank="0" text="" dxfId="50">
      <formula>IF($AZ22=$T63,1,0)</formula>
    </cfRule>
    <cfRule type="expression" priority="53" aboveAverage="0" equalAverage="0" bottom="0" percent="0" rank="0" text="" dxfId="51">
      <formula>IF($AZ23=$T63,1,0)</formula>
    </cfRule>
  </conditionalFormatting>
  <conditionalFormatting sqref="AZ23">
    <cfRule type="expression" priority="54" aboveAverage="0" equalAverage="0" bottom="0" percent="0" rank="0" text="" dxfId="52">
      <formula>IF($AZ23=$T63,1,0)</formula>
    </cfRule>
    <cfRule type="expression" priority="55" aboveAverage="0" equalAverage="0" bottom="0" percent="0" rank="0" text="" dxfId="53">
      <formula>IF($AZ22=$T63,1,0)</formula>
    </cfRule>
  </conditionalFormatting>
  <conditionalFormatting sqref="BF12">
    <cfRule type="expression" priority="56" aboveAverage="0" equalAverage="0" bottom="0" percent="0" rank="0" text="" dxfId="54">
      <formula>IF($BF12=$T69,1,0)</formula>
    </cfRule>
    <cfRule type="expression" priority="57" aboveAverage="0" equalAverage="0" bottom="0" percent="0" rank="0" text="" dxfId="55">
      <formula>IF($BF13=$T69,1,0)</formula>
    </cfRule>
  </conditionalFormatting>
  <conditionalFormatting sqref="BF13">
    <cfRule type="expression" priority="58" aboveAverage="0" equalAverage="0" bottom="0" percent="0" rank="0" text="" dxfId="56">
      <formula>IF($BF13=$T69,1,0)</formula>
    </cfRule>
    <cfRule type="expression" priority="59" aboveAverage="0" equalAverage="0" bottom="0" percent="0" rank="0" text="" dxfId="57">
      <formula>IF($BF12=$T69,1,0)</formula>
    </cfRule>
  </conditionalFormatting>
  <conditionalFormatting sqref="BF20">
    <cfRule type="expression" priority="60" aboveAverage="0" equalAverage="0" bottom="0" percent="0" rank="0" text="" dxfId="58">
      <formula>IF($BF20=$T70,1,0)</formula>
    </cfRule>
    <cfRule type="expression" priority="61" aboveAverage="0" equalAverage="0" bottom="0" percent="0" rank="0" text="" dxfId="59">
      <formula>IF($BF21=$T70,1,0)</formula>
    </cfRule>
  </conditionalFormatting>
  <conditionalFormatting sqref="BF21">
    <cfRule type="expression" priority="62" aboveAverage="0" equalAverage="0" bottom="0" percent="0" rank="0" text="" dxfId="60">
      <formula>IF($BF21=$T70,1,0)</formula>
    </cfRule>
    <cfRule type="expression" priority="63" aboveAverage="0" equalAverage="0" bottom="0" percent="0" rank="0" text="" dxfId="61">
      <formula>IF($BF20=$T70,1,0)</formula>
    </cfRule>
  </conditionalFormatting>
  <conditionalFormatting sqref="BF28">
    <cfRule type="expression" priority="64" aboveAverage="0" equalAverage="0" bottom="0" percent="0" rank="0" text="" dxfId="62">
      <formula>IF($BF28=$T71,1,0)</formula>
    </cfRule>
    <cfRule type="expression" priority="65" aboveAverage="0" equalAverage="0" bottom="0" percent="0" rank="0" text="" dxfId="63">
      <formula>IF($BF29=$T71,1,0)</formula>
    </cfRule>
  </conditionalFormatting>
  <conditionalFormatting sqref="BF29">
    <cfRule type="expression" priority="66" aboveAverage="0" equalAverage="0" bottom="0" percent="0" rank="0" text="" dxfId="64">
      <formula>IF($BF29=$T71,1,0)</formula>
    </cfRule>
    <cfRule type="expression" priority="67" aboveAverage="0" equalAverage="0" bottom="0" percent="0" rank="0" text="" dxfId="65">
      <formula>IF($BF28=$T71,1,0)</formula>
    </cfRule>
  </conditionalFormatting>
  <conditionalFormatting sqref="BF36">
    <cfRule type="expression" priority="68" aboveAverage="0" equalAverage="0" bottom="0" percent="0" rank="0" text="" dxfId="66">
      <formula>IF($BF36=$T72,1,0)</formula>
    </cfRule>
    <cfRule type="expression" priority="69" aboveAverage="0" equalAverage="0" bottom="0" percent="0" rank="0" text="" dxfId="67">
      <formula>IF($BF37=$T72,1,0)</formula>
    </cfRule>
  </conditionalFormatting>
  <conditionalFormatting sqref="BF37">
    <cfRule type="expression" priority="70" aboveAverage="0" equalAverage="0" bottom="0" percent="0" rank="0" text="" dxfId="68">
      <formula>IF($BF37=$T72,1,0)</formula>
    </cfRule>
    <cfRule type="expression" priority="71" aboveAverage="0" equalAverage="0" bottom="0" percent="0" rank="0" text="" dxfId="69">
      <formula>IF($BF36=$T72,1,0)</formula>
    </cfRule>
  </conditionalFormatting>
  <conditionalFormatting sqref="BL16">
    <cfRule type="expression" priority="72" aboveAverage="0" equalAverage="0" bottom="0" percent="0" rank="0" text="" dxfId="70">
      <formula>IF($BL16=$T76,1,0)</formula>
    </cfRule>
    <cfRule type="expression" priority="73" aboveAverage="0" equalAverage="0" bottom="0" percent="0" rank="0" text="" dxfId="71">
      <formula>IF($BL17=$T76,1,0)</formula>
    </cfRule>
  </conditionalFormatting>
  <conditionalFormatting sqref="BL17">
    <cfRule type="expression" priority="74" aboveAverage="0" equalAverage="0" bottom="0" percent="0" rank="0" text="" dxfId="72">
      <formula>IF($BL17=$T76,1,0)</formula>
    </cfRule>
    <cfRule type="expression" priority="75" aboveAverage="0" equalAverage="0" bottom="0" percent="0" rank="0" text="" dxfId="73">
      <formula>IF($BL16=$T76,1,0)</formula>
    </cfRule>
  </conditionalFormatting>
  <conditionalFormatting sqref="BL32">
    <cfRule type="expression" priority="76" aboveAverage="0" equalAverage="0" bottom="0" percent="0" rank="0" text="" dxfId="74">
      <formula>IF($BL32=$T77,1,0)</formula>
    </cfRule>
    <cfRule type="expression" priority="77" aboveAverage="0" equalAverage="0" bottom="0" percent="0" rank="0" text="" dxfId="75">
      <formula>IF($BL33=$T77,1,0)</formula>
    </cfRule>
  </conditionalFormatting>
  <conditionalFormatting sqref="BL33">
    <cfRule type="expression" priority="78" aboveAverage="0" equalAverage="0" bottom="0" percent="0" rank="0" text="" dxfId="76">
      <formula>IF($BL33=$T77,1,0)</formula>
    </cfRule>
    <cfRule type="expression" priority="79" aboveAverage="0" equalAverage="0" bottom="0" percent="0" rank="0" text="" dxfId="77">
      <formula>IF($BL32=$T77,1,0)</formula>
    </cfRule>
  </conditionalFormatting>
  <conditionalFormatting sqref="BR23">
    <cfRule type="expression" priority="80" aboveAverage="0" equalAverage="0" bottom="0" percent="0" rank="0" text="" dxfId="78">
      <formula>IF($BR23=$T85,1,0)</formula>
    </cfRule>
    <cfRule type="expression" priority="81" aboveAverage="0" equalAverage="0" bottom="0" percent="0" rank="0" text="" dxfId="79">
      <formula>IF($BR24=$T85,1,0)</formula>
    </cfRule>
  </conditionalFormatting>
  <conditionalFormatting sqref="BR24">
    <cfRule type="expression" priority="82" aboveAverage="0" equalAverage="0" bottom="0" percent="0" rank="0" text="" dxfId="80">
      <formula>IF($BR24=$T85,1,0)</formula>
    </cfRule>
    <cfRule type="expression" priority="83" aboveAverage="0" equalAverage="0" bottom="0" percent="0" rank="0" text="" dxfId="81">
      <formula>IF($BR23=$T85,1,0)</formula>
    </cfRule>
  </conditionalFormatting>
  <conditionalFormatting sqref="BR35">
    <cfRule type="expression" priority="84" aboveAverage="0" equalAverage="0" bottom="0" percent="0" rank="0" text="" dxfId="82">
      <formula>IF($BR35=$T81,1,0)</formula>
    </cfRule>
    <cfRule type="expression" priority="85" aboveAverage="0" equalAverage="0" bottom="0" percent="0" rank="0" text="" dxfId="83">
      <formula>IF($BR36=$T81,1,0)</formula>
    </cfRule>
  </conditionalFormatting>
  <conditionalFormatting sqref="BR36">
    <cfRule type="expression" priority="86" aboveAverage="0" equalAverage="0" bottom="0" percent="0" rank="0" text="" dxfId="84">
      <formula>IF($BR36=$T81,1,0)</formula>
    </cfRule>
    <cfRule type="expression" priority="87" aboveAverage="0" equalAverage="0" bottom="0" percent="0" rank="0" text="" dxfId="85">
      <formula>IF($BR35=$T81,1,0)</formula>
    </cfRule>
  </conditionalFormatting>
  <conditionalFormatting sqref="E7:E54">
    <cfRule type="expression" priority="88" aboveAverage="0" equalAverage="0" bottom="0" percent="0" rank="0" text="" dxfId="86">
      <formula>IF(AND(X7=0,Y7=-1),1,0)</formula>
    </cfRule>
    <cfRule type="expression" priority="89" aboveAverage="0" equalAverage="0" bottom="0" percent="0" rank="0" text="" dxfId="87">
      <formula>IF(AND(X7=1,Y7=-1),1,0)</formula>
    </cfRule>
    <cfRule type="expression" priority="90" aboveAverage="0" equalAverage="0" bottom="0" percent="0" rank="0" text="" dxfId="88">
      <formula>IF(AND(X7=0,Y7=1),1,0)</formula>
    </cfRule>
    <cfRule type="expression" priority="91" aboveAverage="0" equalAverage="0" bottom="0" percent="0" rank="0" text="" dxfId="89">
      <formula>IF(AND(X7=1,Y7=1),1,0)</formula>
    </cfRule>
    <cfRule type="expression" priority="92" aboveAverage="0" equalAverage="0" bottom="0" percent="0" rank="0" text="" dxfId="90">
      <formula>IF(AND(X7=0,Y7=0),1,0)</formula>
    </cfRule>
    <cfRule type="expression" priority="93" aboveAverage="0" equalAverage="0" bottom="0" percent="0" rank="0" text="" dxfId="91">
      <formula>IF(AND(X7=1,Y7=0),1,0)</formula>
    </cfRule>
  </conditionalFormatting>
  <conditionalFormatting sqref="H7:H54">
    <cfRule type="expression" priority="94" aboveAverage="0" equalAverage="0" bottom="0" percent="0" rank="0" text="" dxfId="92">
      <formula>IF(AND(X7=0,Y7=-1),1,0)</formula>
    </cfRule>
    <cfRule type="expression" priority="95" aboveAverage="0" equalAverage="0" bottom="0" percent="0" rank="0" text="" dxfId="93">
      <formula>IF(AND(X7=1,Y7=-1),1,0)</formula>
    </cfRule>
    <cfRule type="expression" priority="96" aboveAverage="0" equalAverage="0" bottom="0" percent="0" rank="0" text="" dxfId="94">
      <formula>IF(AND(X7=0,Y7=1),1,0)</formula>
    </cfRule>
    <cfRule type="expression" priority="97" aboveAverage="0" equalAverage="0" bottom="0" percent="0" rank="0" text="" dxfId="95">
      <formula>IF(AND(X7=1,Y7=1),1,0)</formula>
    </cfRule>
    <cfRule type="expression" priority="98" aboveAverage="0" equalAverage="0" bottom="0" percent="0" rank="0" text="" dxfId="96">
      <formula>IF(AND(X7=0,Y7=0),1,0)</formula>
    </cfRule>
    <cfRule type="expression" priority="99" aboveAverage="0" equalAverage="0" bottom="0" percent="0" rank="0" text="" dxfId="97">
      <formula>IF(AND(X7=1,Y7=0),1,0)</formula>
    </cfRule>
    <cfRule type="expression" priority="100" aboveAverage="0" equalAverage="0" bottom="0" percent="0" rank="0" text="" dxfId="98">
      <formula>IF(AND(X7=1,Y7=""),1,0)</formula>
    </cfRule>
  </conditionalFormatting>
  <conditionalFormatting sqref="A7:E54">
    <cfRule type="expression" priority="101" aboveAverage="0" equalAverage="0" bottom="0" percent="0" rank="0" text="" dxfId="99">
      <formula>IF($X7=1,1,0)</formula>
    </cfRule>
  </conditionalFormatting>
  <dataValidations count="2">
    <dataValidation allowBlank="true" operator="equal" showDropDown="false" showErrorMessage="true" showInputMessage="true" sqref="F7:G55 BA10:BA11 BG12:BG13 BA14:BA15 BM16:BM17 BA18:BA19 BG20:BG21 BA22:BA23 BS23:BS24 BA26:BA27 BG28:BG29 BA30:BA31 BM32:BM33 BA34:BA35 BS35:BS36 BG36:BG37 BA38:BA39" type="list">
      <formula1>"0,1,2,3,4,5,6,7,8,9"</formula1>
      <formula2>0</formula2>
    </dataValidation>
    <dataValidation allowBlank="true" operator="equal" showDropDown="false" showErrorMessage="true" showInputMessage="true" sqref="BB10:BB11 BH12:BH13 BB14:BB15 BN16:BN17 BB18:BB19 BH20:BH21 BB22:BB23 BT23:BT24 BB26:BB27 BH28:BH29 BB30:BB31 BN32:BN33 BB34:BB35 BT35:BT36 BH36:BH37 BB38:BB39" type="list">
      <formula1>"0,1,2,3,4,5,6,7,8,9,10,11,12,13,14,15,16,17,18,19,20"</formula1>
      <formula2>0</formula2>
    </dataValidation>
  </dataValidations>
  <hyperlinks>
    <hyperlink ref="J5" r:id="rId1" display="Home Page: www.excely.com"/>
    <hyperlink ref="AY46" r:id="rId2" display="FIFA World Cup&#10;Historical Data&#10;1930 - 2014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es-CL</dc:language>
  <cp:lastModifiedBy/>
  <cp:lastPrinted>2018-01-03T15:36:04Z</cp:lastPrinted>
  <dcterms:modified xsi:type="dcterms:W3CDTF">2018-06-26T18:21:48Z</dcterms:modified>
  <cp:revision>23</cp:revision>
  <dc:subject/>
  <dc:title>2018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