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2"/>
  </bookViews>
  <sheets>
    <sheet name="T" sheetId="1" state="hidden" r:id="rId1"/>
    <sheet name="Settings" sheetId="2" state="visible" r:id="rId2"/>
    <sheet name="2018 World Cup" sheetId="3" state="visible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45621"/>
</workbook>
</file>

<file path=xl/sharedStrings.xml><?xml version="1.0" encoding="utf-8"?>
<sst xmlns="http://schemas.openxmlformats.org/spreadsheetml/2006/main" count="2687" uniqueCount="2687">
  <si>
    <t>English</t>
  </si>
  <si>
    <t>Albanian</t>
  </si>
  <si>
    <t>Arabic</t>
  </si>
  <si>
    <t>Armenian</t>
  </si>
  <si>
    <t>Azerbaijan</t>
  </si>
  <si>
    <t>Bulgarian</t>
  </si>
  <si>
    <t>Català</t>
  </si>
  <si>
    <t xml:space="preserve">Chinese (Simplified)</t>
  </si>
  <si>
    <t xml:space="preserve"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</si>
  <si>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</si>
  <si>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</si>
  <si>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</si>
  <si>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</si>
  <si>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</si>
  <si>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</si>
  <si>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</si>
  <si>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</si>
  <si>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</si>
  <si>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</si>
  <si>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</si>
  <si>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</si>
  <si>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</si>
  <si>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</si>
  <si>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</si>
  <si>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</si>
  <si>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</si>
  <si>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</si>
  <si>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</si>
  <si>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</si>
  <si>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</si>
  <si>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</si>
  <si>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</si>
  <si>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</si>
  <si>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</si>
  <si>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</si>
  <si>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</si>
  <si>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</si>
  <si>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</si>
  <si>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</si>
  <si>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</si>
  <si>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</si>
  <si>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</si>
  <si>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</si>
  <si>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 xml:space="preserve">2018 World Cup Final Tournament Schedule</t>
  </si>
  <si>
    <t xml:space="preserve">Kupa Botërore 2018</t>
  </si>
  <si>
    <r>
      <rPr>
        <color indexed="64"/>
        <rFont val="Noto Sans Devanagari"/>
        <sz val="11"/>
      </rPr>
      <t xml:space="preserve">جدول مباريات كأس العالم </t>
    </r>
    <r>
      <rPr>
        <color indexed="64"/>
        <rFont val="Calibri"/>
        <sz val="11"/>
      </rPr>
      <t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</si>
  <si>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</si>
  <si>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</si>
  <si>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</si>
  <si>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</si>
  <si>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color indexed="64"/>
        <rFont val="Droid Sans Fallback"/>
        <sz val="11"/>
      </rPr>
      <t>巴西</t>
    </r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>年世界杯</t>
    </r>
  </si>
  <si>
    <r>
      <rPr>
        <color indexed="64"/>
        <rFont val="Calibri"/>
        <sz val="11"/>
      </rPr>
      <t xml:space="preserve">2018 </t>
    </r>
    <r>
      <rPr>
        <color indexed="64"/>
        <rFont val="Droid Sans Fallback"/>
        <sz val="11"/>
      </rPr>
      <t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</si>
  <si>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</si>
  <si>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</si>
  <si>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</si>
  <si>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</si>
  <si>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</si>
  <si>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</si>
  <si>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</si>
  <si>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</si>
  <si>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color indexed="64"/>
        <rFont val="Calibri"/>
        <sz val="11"/>
      </rPr>
      <t xml:space="preserve">2018 </t>
    </r>
    <r>
      <rPr>
        <color indexed="64"/>
        <rFont val="Noto Sans Devanagari"/>
        <sz val="1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</si>
  <si>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</si>
  <si>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</si>
  <si>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</si>
  <si>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</si>
  <si>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color indexed="64"/>
        <rFont val="Calibri"/>
        <sz val="11"/>
      </rPr>
      <t xml:space="preserve">2018 </t>
    </r>
    <r>
      <rPr>
        <color indexed="64"/>
        <rFont val="Droid Sans Fallback"/>
        <sz val="1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</si>
  <si>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</si>
  <si>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</si>
  <si>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</si>
  <si>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</si>
  <si>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color indexed="64"/>
        <rFont val="Noto Sans Devanagari"/>
        <sz val="11"/>
      </rPr>
      <t xml:space="preserve">جدول مسابقات فینال جام جهانی </t>
    </r>
    <r>
      <rPr>
        <color indexed="64"/>
        <rFont val="Calibri"/>
        <sz val="11"/>
      </rPr>
      <t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</si>
  <si>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</si>
  <si>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</si>
  <si>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</si>
  <si>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</si>
  <si>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</si>
  <si>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</si>
  <si>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</si>
  <si>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</si>
  <si>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</si>
  <si>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color indexed="64"/>
        <rFont val="Noto Sans Devanagari"/>
        <sz val="11"/>
      </rPr>
      <t xml:space="preserve">ตารางการแข่งขันฟุตบอลโลก </t>
    </r>
    <r>
      <rPr>
        <color indexed="64"/>
        <rFont val="Calibri"/>
        <sz val="11"/>
      </rPr>
      <t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</si>
  <si>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</si>
  <si>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</si>
  <si>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</si>
  <si>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</si>
  <si>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</si>
  <si>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</si>
  <si>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</si>
  <si>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</si>
  <si>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</si>
  <si>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</si>
  <si>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</si>
  <si>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</si>
  <si>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>小组赛阶段</t>
  </si>
  <si>
    <t>分組賽</t>
  </si>
  <si>
    <t xml:space="preserve">Prvi krug</t>
  </si>
  <si>
    <t xml:space="preserve">Základní skupiny</t>
  </si>
  <si>
    <t>Gruppespil</t>
  </si>
  <si>
    <t>Groepsfase</t>
  </si>
  <si>
    <t xml:space="preserve">Phase de groupes</t>
  </si>
  <si>
    <t xml:space="preserve">ჯგუფური ეტაპი</t>
  </si>
  <si>
    <t>Gruppenphase</t>
  </si>
  <si>
    <t xml:space="preserve">Φάση Ομίλων</t>
  </si>
  <si>
    <t xml:space="preserve">שלב הבתים</t>
  </si>
  <si>
    <t>Csoportkörök</t>
  </si>
  <si>
    <t xml:space="preserve">Babak Kualifikasi</t>
  </si>
  <si>
    <t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</si>
  <si>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</si>
  <si>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</si>
  <si>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</si>
  <si>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</si>
  <si>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</si>
  <si>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</si>
  <si>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</si>
  <si>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</si>
  <si>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</si>
  <si>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</si>
  <si>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</si>
  <si>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</si>
  <si>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</si>
  <si>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</si>
  <si>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>Gruppspel</t>
  </si>
  <si>
    <t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</si>
  <si>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</si>
  <si>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</si>
  <si>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</si>
  <si>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</si>
  <si>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</si>
  <si>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</si>
  <si>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</si>
  <si>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</si>
  <si>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</si>
  <si>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</si>
  <si>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</si>
  <si>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</si>
  <si>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>强赛</t>
    </r>
  </si>
  <si>
    <t>十六強</t>
  </si>
  <si>
    <t xml:space="preserve">Drugi krug</t>
  </si>
  <si>
    <t>Osmifinále</t>
  </si>
  <si>
    <t xml:space="preserve">Runde af 16</t>
  </si>
  <si>
    <t xml:space="preserve">Achtste finales</t>
  </si>
  <si>
    <t xml:space="preserve">Huitièmes de finale</t>
  </si>
  <si>
    <t>მერვედფინალი</t>
  </si>
  <si>
    <t>Achtelfinale</t>
  </si>
  <si>
    <t xml:space="preserve">Φάση των 16</t>
  </si>
  <si>
    <t xml:space="preserve">שמינית גמר</t>
  </si>
  <si>
    <t>Nyolcaddöntők</t>
  </si>
  <si>
    <t xml:space="preserve">Per Delapan Final</t>
  </si>
  <si>
    <t xml:space="preserve">16 liða úrslit</t>
  </si>
  <si>
    <t xml:space="preserve">Ottavi di finale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</si>
  <si>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</si>
  <si>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</si>
  <si>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</si>
  <si>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</si>
  <si>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</si>
  <si>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</si>
  <si>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</si>
  <si>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</si>
  <si>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>Optimi</t>
  </si>
  <si>
    <t xml:space="preserve">1/8 Финала</t>
  </si>
  <si>
    <t xml:space="preserve">Šesnaestina finala</t>
  </si>
  <si>
    <t>Osemfinále</t>
  </si>
  <si>
    <t>Osminafinala</t>
  </si>
  <si>
    <t xml:space="preserve">Octavos de final</t>
  </si>
  <si>
    <t>Åttondelsfinal</t>
  </si>
  <si>
    <t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</si>
  <si>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</si>
  <si>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</si>
  <si>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</si>
  <si>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</si>
  <si>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</si>
  <si>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>Quarterfinals</t>
  </si>
  <si>
    <t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</si>
  <si>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</si>
  <si>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</si>
  <si>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</si>
  <si>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</si>
  <si>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</si>
  <si>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强赛</t>
    </r>
  </si>
  <si>
    <t>八強</t>
  </si>
  <si>
    <t>Četvrtfinale</t>
  </si>
  <si>
    <t>Čtvrtfinále</t>
  </si>
  <si>
    <t>Kvartfinale</t>
  </si>
  <si>
    <t>Kwartfinales</t>
  </si>
  <si>
    <t xml:space="preserve">Quart de Finale</t>
  </si>
  <si>
    <t>მეოთხედფინალი</t>
  </si>
  <si>
    <t>Viertelfinale</t>
  </si>
  <si>
    <t>Προημιτελικοί</t>
  </si>
  <si>
    <t xml:space="preserve">רבע גמר</t>
  </si>
  <si>
    <t>Negyeddöntők</t>
  </si>
  <si>
    <t xml:space="preserve">Perempat Final</t>
  </si>
  <si>
    <t xml:space="preserve">8 liða úrslit</t>
  </si>
  <si>
    <t xml:space="preserve">Quarti di finale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</si>
  <si>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강전</t>
    </r>
  </si>
  <si>
    <t>Ketvirtfinaliai</t>
  </si>
  <si>
    <t xml:space="preserve">1/4 финале</t>
  </si>
  <si>
    <t>Kwarti-Finali</t>
  </si>
  <si>
    <t xml:space="preserve">یک چهارم نهائی</t>
  </si>
  <si>
    <t>Ćwierćfinały</t>
  </si>
  <si>
    <t xml:space="preserve">Quartos de Final</t>
  </si>
  <si>
    <t xml:space="preserve">Sferturi de finala</t>
  </si>
  <si>
    <t>Четвертьфиналы</t>
  </si>
  <si>
    <t>Štvrťfinále</t>
  </si>
  <si>
    <t>Četrtfinale</t>
  </si>
  <si>
    <t xml:space="preserve">Cuartos de Final</t>
  </si>
  <si>
    <t>Kvartsfinal</t>
  </si>
  <si>
    <t>รอบก่อนรองชนะเลิศ</t>
  </si>
  <si>
    <t xml:space="preserve">Çeyrek Final</t>
  </si>
  <si>
    <t xml:space="preserve">Tứ kết</t>
  </si>
  <si>
    <t>Чвертьфінал</t>
  </si>
  <si>
    <t xml:space="preserve">کواٹر فائنل</t>
  </si>
  <si>
    <t xml:space="preserve">Чорак финал</t>
  </si>
  <si>
    <t>Semi-Finals</t>
  </si>
  <si>
    <t>Gjysmëfinalja</t>
  </si>
  <si>
    <t xml:space="preserve">دور النصف نهائي</t>
  </si>
  <si>
    <t>Կիսաեզրափակիչ</t>
  </si>
  <si>
    <t xml:space="preserve">Yarım Final</t>
  </si>
  <si>
    <t xml:space="preserve">1/2 - финали</t>
  </si>
  <si>
    <t>Semifinals</t>
  </si>
  <si>
    <t>半决赛</t>
  </si>
  <si>
    <t>準決賽</t>
  </si>
  <si>
    <t>Polufinale</t>
  </si>
  <si>
    <t>Semifinále</t>
  </si>
  <si>
    <t>Semifinale</t>
  </si>
  <si>
    <t xml:space="preserve">Halve finales</t>
  </si>
  <si>
    <t>Demi-Finale</t>
  </si>
  <si>
    <t>ნახევარფინალი</t>
  </si>
  <si>
    <t>Halbfinale</t>
  </si>
  <si>
    <t>Ημιτελικοί</t>
  </si>
  <si>
    <t xml:space="preserve">חצי גמר</t>
  </si>
  <si>
    <t>Elődöntők</t>
  </si>
  <si>
    <t xml:space="preserve">Semi Final</t>
  </si>
  <si>
    <t>Undanúrslit</t>
  </si>
  <si>
    <t>Semifinali</t>
  </si>
  <si>
    <t>준결승전</t>
  </si>
  <si>
    <t>Pusfinaliai</t>
  </si>
  <si>
    <t xml:space="preserve">1/2 финале</t>
  </si>
  <si>
    <t>Semi-Finali</t>
  </si>
  <si>
    <t xml:space="preserve"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</si>
  <si>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</si>
  <si>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</si>
  <si>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</si>
  <si>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</si>
  <si>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</si>
  <si>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</si>
  <si>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</si>
  <si>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 xml:space="preserve">Yarı Final</t>
  </si>
  <si>
    <t xml:space="preserve">Bán kết</t>
  </si>
  <si>
    <t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</si>
  <si>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</si>
  <si>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</si>
  <si>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</si>
  <si>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</si>
  <si>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</si>
  <si>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</si>
  <si>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</si>
  <si>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</si>
  <si>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</si>
  <si>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>季军赛</t>
  </si>
  <si>
    <t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</si>
  <si>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</si>
  <si>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</si>
  <si>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</si>
  <si>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</si>
  <si>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</si>
  <si>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</si>
  <si>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</si>
  <si>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</si>
  <si>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color indexed="64"/>
        <rFont val="Noto Sans Devanagari"/>
        <sz val="11"/>
      </rPr>
      <t xml:space="preserve">מקום </t>
    </r>
    <r>
      <rPr>
        <color indexed="64"/>
        <rFont val="Calibri"/>
        <sz val="11"/>
      </rPr>
      <t>3-4</t>
    </r>
  </si>
  <si>
    <t>Bronzmeccs</t>
  </si>
  <si>
    <t xml:space="preserve">Perebutan Tempat Ketiga</t>
  </si>
  <si>
    <t xml:space="preserve">Leikur um 3.sæti</t>
  </si>
  <si>
    <t xml:space="preserve">Finale 3°- 4° posto</t>
  </si>
  <si>
    <r>
      <rPr>
        <color indexed="64"/>
        <rFont val="Calibri"/>
        <sz val="11"/>
      </rPr>
      <t>3,4</t>
    </r>
    <r>
      <rPr>
        <color indexed="64"/>
        <rFont val="Droid Sans Fallback"/>
        <sz val="11"/>
      </rPr>
      <t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</si>
  <si>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</si>
  <si>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</si>
  <si>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</si>
  <si>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</si>
  <si>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</si>
  <si>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</si>
  <si>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</si>
  <si>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</si>
  <si>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</si>
  <si>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</si>
  <si>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</si>
  <si>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</si>
  <si>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</si>
  <si>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color indexed="64"/>
        <rFont val="Noto Sans Devanagari"/>
        <sz val="11"/>
      </rPr>
      <t xml:space="preserve">รอบชิงที่ </t>
    </r>
    <r>
      <rPr>
        <color indexed="64"/>
        <rFont val="Calibri"/>
        <sz val="11"/>
      </rPr>
      <t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</si>
  <si>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</si>
  <si>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</si>
  <si>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</si>
  <si>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</si>
  <si>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</si>
  <si>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>Final</t>
  </si>
  <si>
    <t>Finalja</t>
  </si>
  <si>
    <t xml:space="preserve"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</si>
  <si>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</si>
  <si>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</si>
  <si>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</si>
  <si>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</si>
  <si>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</si>
  <si>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</si>
  <si>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</si>
  <si>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</si>
  <si>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</si>
  <si>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</si>
  <si>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</si>
  <si>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</si>
  <si>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</si>
  <si>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</si>
  <si>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</si>
  <si>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</si>
  <si>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</si>
  <si>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</si>
  <si>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</si>
  <si>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 xml:space="preserve"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</si>
  <si>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</si>
  <si>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</si>
  <si>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</si>
  <si>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</si>
  <si>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</si>
  <si>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</si>
  <si>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</si>
  <si>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</si>
  <si>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</si>
  <si>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</si>
  <si>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</si>
  <si>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</si>
  <si>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</si>
  <si>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</si>
  <si>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</si>
  <si>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</si>
  <si>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</si>
  <si>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</si>
  <si>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</si>
  <si>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</si>
  <si>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</si>
  <si>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</si>
  <si>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</si>
  <si>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</si>
  <si>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</si>
  <si>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</si>
  <si>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</si>
  <si>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</si>
  <si>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</si>
  <si>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</si>
  <si>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</si>
  <si>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</si>
  <si>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</si>
  <si>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</si>
  <si>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</si>
  <si>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</si>
  <si>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</si>
  <si>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</si>
  <si>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</si>
  <si>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</si>
  <si>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</si>
  <si>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</si>
  <si>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</si>
  <si>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</si>
  <si>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</si>
  <si>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</si>
  <si>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</si>
  <si>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</si>
  <si>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</si>
  <si>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</si>
  <si>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</si>
  <si>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</si>
  <si>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</si>
  <si>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</si>
  <si>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</si>
  <si>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</si>
  <si>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</si>
  <si>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</si>
  <si>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</si>
  <si>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</si>
  <si>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</si>
  <si>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 xml:space="preserve"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</si>
  <si>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</si>
  <si>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</si>
  <si>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</si>
  <si>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</si>
  <si>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</si>
  <si>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</si>
  <si>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</si>
  <si>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</si>
  <si>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</si>
  <si>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</si>
  <si>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</si>
  <si>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</si>
  <si>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</si>
  <si>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</si>
  <si>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</si>
  <si>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</si>
  <si>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</si>
  <si>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</si>
  <si>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</si>
  <si>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</si>
  <si>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</si>
  <si>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</si>
  <si>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</si>
  <si>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</si>
  <si>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</si>
  <si>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</si>
  <si>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</si>
  <si>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</si>
  <si>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</si>
  <si>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</si>
  <si>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</si>
  <si>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</si>
  <si>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</si>
  <si>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</si>
  <si>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</si>
  <si>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</si>
  <si>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</si>
  <si>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</si>
  <si>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</si>
  <si>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</si>
  <si>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</si>
  <si>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</si>
  <si>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</si>
  <si>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</si>
  <si>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</si>
  <si>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</si>
  <si>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</si>
  <si>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</si>
  <si>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</si>
  <si>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</si>
  <si>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</si>
  <si>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</si>
  <si>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</si>
  <si>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</si>
  <si>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</si>
  <si>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</si>
  <si>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</si>
  <si>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</si>
  <si>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</si>
  <si>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</si>
  <si>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</si>
  <si>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</si>
  <si>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</si>
  <si>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</si>
  <si>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 xml:space="preserve">ہارے گئے مقابلے</t>
  </si>
  <si>
    <t xml:space="preserve">GF - GA</t>
  </si>
  <si>
    <t>GSH-GP</t>
  </si>
  <si>
    <r>
      <rPr>
        <color indexed="64"/>
        <rFont val="Noto Sans Devanagari"/>
        <sz val="11"/>
      </rPr>
      <t xml:space="preserve">عليه 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>له</t>
    </r>
  </si>
  <si>
    <t>ԽԳ-ԲԳ</t>
  </si>
  <si>
    <t xml:space="preserve">QV - QB</t>
  </si>
  <si>
    <t xml:space="preserve">Гол. Разл.</t>
  </si>
  <si>
    <t xml:space="preserve">GF - GC</t>
  </si>
  <si>
    <t>得失球</t>
  </si>
  <si>
    <r>
      <rPr>
        <color indexed="64"/>
        <rFont val="Droid Sans Fallback"/>
        <sz val="11"/>
      </rPr>
      <t xml:space="preserve">得球 </t>
    </r>
    <r>
      <rPr>
        <color indexed="64"/>
        <rFont val="Calibri"/>
        <sz val="11"/>
      </rPr>
      <t xml:space="preserve">- </t>
    </r>
    <r>
      <rPr>
        <color indexed="64"/>
        <rFont val="Droid Sans Fallback"/>
        <sz val="11"/>
      </rPr>
      <t>失球</t>
    </r>
  </si>
  <si>
    <t xml:space="preserve">GV - GI</t>
  </si>
  <si>
    <t xml:space="preserve">MF - MI</t>
  </si>
  <si>
    <t>DV-DT</t>
  </si>
  <si>
    <t xml:space="preserve">BP - BC</t>
  </si>
  <si>
    <t xml:space="preserve">გგ - მგ</t>
  </si>
  <si>
    <t xml:space="preserve">ET - KT</t>
  </si>
  <si>
    <t>Υ-Κ</t>
  </si>
  <si>
    <t xml:space="preserve">יחס שערים</t>
  </si>
  <si>
    <t>Gólkül.</t>
  </si>
  <si>
    <t xml:space="preserve">Skor </t>
  </si>
  <si>
    <t xml:space="preserve">S - F</t>
  </si>
  <si>
    <t xml:space="preserve">GF - GS</t>
  </si>
  <si>
    <t>골득실</t>
  </si>
  <si>
    <t xml:space="preserve">Įm - Pr</t>
  </si>
  <si>
    <t>Разлика</t>
  </si>
  <si>
    <t xml:space="preserve">GF - GK</t>
  </si>
  <si>
    <t>Mål</t>
  </si>
  <si>
    <r>
      <rPr>
        <color indexed="64"/>
        <rFont val="Noto Sans Devanagari"/>
        <sz val="11"/>
      </rPr>
      <t>خورده</t>
    </r>
    <r>
      <rPr>
        <color indexed="64"/>
        <rFont val="Calibri"/>
        <sz val="11"/>
      </rPr>
      <t>-</t>
    </r>
    <r>
      <rPr>
        <color indexed="64"/>
        <rFont val="Noto Sans Devanagari"/>
        <sz val="11"/>
      </rPr>
      <t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</si>
  <si>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</si>
  <si>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</si>
  <si>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</si>
  <si>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</si>
  <si>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</si>
  <si>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>GS-GI</t>
  </si>
  <si>
    <t xml:space="preserve">GM – IM</t>
  </si>
  <si>
    <r>
      <rPr>
        <color indexed="64"/>
        <rFont val="Noto Sans Devanagari"/>
        <sz val="11"/>
      </rPr>
      <t xml:space="preserve">ได้ 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>เสีย</t>
    </r>
  </si>
  <si>
    <t xml:space="preserve">A - Y</t>
  </si>
  <si>
    <t xml:space="preserve">Hiệu số</t>
  </si>
  <si>
    <t xml:space="preserve">М </t>
  </si>
  <si>
    <r>
      <rPr>
        <color indexed="64"/>
        <rFont val="Noto Sans Devanagari"/>
        <sz val="11"/>
      </rPr>
      <t xml:space="preserve">گول کئے</t>
    </r>
    <r>
      <rPr>
        <color indexed="64"/>
        <rFont val="Calibri"/>
        <sz val="11"/>
      </rPr>
      <t xml:space="preserve">- </t>
    </r>
    <r>
      <rPr>
        <color indexed="64"/>
        <rFont val="Noto Sans Devanagari"/>
        <sz val="11"/>
      </rPr>
      <t xml:space="preserve">انکے خلاف گول کئے گئے</t>
    </r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</si>
  <si>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</si>
  <si>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</si>
  <si>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</si>
  <si>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</si>
  <si>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</si>
  <si>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</si>
  <si>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</si>
  <si>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</si>
  <si>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</si>
  <si>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</si>
  <si>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</si>
  <si>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</si>
  <si>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</si>
  <si>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</si>
  <si>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</si>
  <si>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</si>
  <si>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</si>
  <si>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</si>
  <si>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</si>
  <si>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</si>
  <si>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</si>
  <si>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</si>
  <si>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</si>
  <si>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</si>
  <si>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</si>
  <si>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</si>
  <si>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</si>
  <si>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</si>
  <si>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</si>
  <si>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</si>
  <si>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</si>
  <si>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</si>
  <si>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</si>
  <si>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</si>
  <si>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</si>
  <si>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</si>
  <si>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</si>
  <si>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</si>
  <si>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</si>
  <si>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</si>
  <si>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</si>
  <si>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</si>
  <si>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</si>
  <si>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</si>
  <si>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</si>
  <si>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</si>
  <si>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</si>
  <si>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</si>
  <si>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</si>
  <si>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</si>
  <si>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</si>
  <si>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</si>
  <si>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</si>
  <si>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</si>
  <si>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</si>
  <si>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</si>
  <si>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</si>
  <si>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</si>
  <si>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</si>
  <si>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</si>
  <si>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</si>
  <si>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</si>
  <si>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</si>
  <si>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</si>
  <si>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</si>
  <si>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</si>
  <si>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</si>
  <si>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</si>
  <si>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</si>
  <si>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</si>
  <si>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</si>
  <si>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</si>
  <si>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</si>
  <si>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</si>
  <si>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</si>
  <si>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</si>
  <si>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</si>
  <si>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</si>
  <si>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</si>
  <si>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</si>
  <si>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</si>
  <si>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</si>
  <si>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</si>
  <si>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</si>
  <si>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</si>
  <si>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</si>
  <si>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</si>
  <si>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</si>
  <si>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</si>
  <si>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</si>
  <si>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</si>
  <si>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</si>
  <si>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</si>
  <si>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</si>
  <si>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</si>
  <si>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</si>
  <si>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</si>
  <si>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</si>
  <si>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</si>
  <si>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</si>
  <si>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</si>
  <si>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</si>
  <si>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</si>
  <si>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</si>
  <si>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</si>
  <si>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</si>
  <si>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</si>
  <si>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</si>
  <si>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</si>
  <si>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</si>
  <si>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</si>
  <si>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</si>
  <si>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</si>
  <si>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</si>
  <si>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</si>
  <si>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</si>
  <si>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 xml:space="preserve"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</si>
  <si>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</si>
  <si>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</si>
  <si>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</si>
  <si>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</si>
  <si>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</si>
  <si>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</si>
  <si>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</si>
  <si>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</si>
  <si>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</si>
  <si>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</si>
  <si>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</si>
  <si>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</si>
  <si>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</si>
  <si>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</si>
  <si>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</si>
  <si>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</si>
  <si>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</si>
  <si>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</si>
  <si>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</si>
  <si>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</si>
  <si>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</si>
  <si>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</si>
  <si>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</si>
  <si>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</si>
  <si>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</si>
  <si>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</si>
  <si>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</si>
  <si>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</si>
  <si>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</si>
  <si>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</si>
  <si>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</si>
  <si>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</si>
  <si>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</si>
  <si>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</si>
  <si>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</si>
  <si>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</si>
  <si>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</si>
  <si>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</si>
  <si>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</si>
  <si>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</si>
  <si>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</si>
  <si>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</si>
  <si>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</si>
  <si>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</si>
  <si>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</si>
  <si>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</si>
  <si>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</si>
  <si>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</si>
  <si>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</si>
  <si>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</si>
  <si>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</si>
  <si>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</si>
  <si>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</si>
  <si>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</si>
  <si>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</si>
  <si>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</si>
  <si>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</si>
  <si>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</si>
  <si>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</si>
  <si>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</si>
  <si>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</si>
  <si>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</si>
  <si>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</si>
  <si>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</si>
  <si>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</si>
  <si>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</si>
  <si>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</si>
  <si>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</si>
  <si>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</si>
  <si>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</si>
  <si>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</si>
  <si>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</si>
  <si>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</si>
  <si>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</si>
  <si>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</si>
  <si>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</si>
  <si>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</si>
  <si>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</si>
  <si>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</si>
  <si>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</si>
  <si>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</si>
  <si>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</si>
  <si>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</si>
  <si>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</si>
  <si>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</si>
  <si>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</si>
  <si>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</si>
  <si>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</si>
  <si>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</si>
  <si>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</si>
  <si>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</si>
  <si>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</si>
  <si>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</si>
  <si>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</si>
  <si>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</si>
  <si>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</si>
  <si>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</si>
  <si>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</si>
  <si>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</si>
  <si>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</si>
  <si>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</si>
  <si>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</si>
  <si>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</si>
  <si>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</si>
  <si>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</si>
  <si>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</si>
  <si>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</si>
  <si>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</si>
  <si>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</si>
  <si>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</si>
  <si>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</si>
  <si>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</si>
  <si>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</si>
  <si>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</si>
  <si>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</si>
  <si>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</si>
  <si>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</si>
  <si>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</si>
  <si>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</si>
  <si>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</si>
  <si>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</si>
  <si>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</si>
  <si>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</si>
  <si>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</si>
  <si>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</si>
  <si>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</si>
  <si>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</si>
  <si>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</si>
  <si>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</si>
  <si>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</si>
  <si>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</si>
  <si>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</si>
  <si>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</si>
  <si>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</si>
  <si>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</si>
  <si>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</si>
  <si>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</si>
  <si>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</si>
  <si>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</si>
  <si>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</si>
  <si>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</si>
  <si>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</si>
  <si>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</si>
  <si>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</si>
  <si>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 xml:space="preserve"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</si>
  <si>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</si>
  <si>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</si>
  <si>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</si>
  <si>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</si>
  <si>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</si>
  <si>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</si>
  <si>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</si>
  <si>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</si>
  <si>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</si>
  <si>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</si>
  <si>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월</t>
    </r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</si>
  <si>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</si>
  <si>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</si>
  <si>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</si>
  <si>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</si>
  <si>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</si>
  <si>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</si>
  <si>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</si>
  <si>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</si>
  <si>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</si>
  <si>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</si>
  <si>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 xml:space="preserve"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</si>
  <si>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</si>
  <si>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</si>
  <si>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</si>
  <si>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</si>
  <si>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</si>
  <si>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</si>
  <si>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</si>
  <si>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</si>
  <si>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</si>
  <si>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</si>
  <si>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</si>
  <si>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</si>
  <si>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</si>
  <si>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</si>
  <si>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</si>
  <si>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</si>
  <si>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</si>
  <si>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</si>
  <si>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</si>
  <si>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</si>
  <si>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</si>
  <si>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</si>
  <si>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 xml:space="preserve"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</si>
  <si>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</si>
  <si>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</si>
  <si>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</si>
  <si>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</si>
  <si>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</si>
  <si>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</si>
  <si>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</si>
  <si>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</si>
  <si>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</si>
  <si>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</si>
  <si>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</si>
  <si>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</si>
  <si>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</si>
  <si>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</si>
  <si>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color indexed="64"/>
        <rFont val="Calibri"/>
        <sz val="11"/>
      </rPr>
      <t>3</t>
    </r>
    <r>
      <rPr>
        <color indexed="64"/>
        <rFont val="Droid Sans Fallback"/>
        <sz val="11"/>
      </rPr>
      <t>월</t>
    </r>
  </si>
  <si>
    <t>Kov</t>
  </si>
  <si>
    <t>Мар</t>
  </si>
  <si>
    <t>مارس</t>
  </si>
  <si>
    <t>mar</t>
  </si>
  <si>
    <t>มีนาคม</t>
  </si>
  <si>
    <t xml:space="preserve"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</si>
  <si>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</si>
  <si>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</si>
  <si>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</si>
  <si>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</si>
  <si>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</si>
  <si>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</si>
  <si>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</si>
  <si>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</si>
  <si>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</si>
  <si>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</si>
  <si>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</si>
  <si>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</si>
  <si>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</si>
  <si>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</si>
  <si>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</si>
  <si>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color indexed="64"/>
        <rFont val="Calibri"/>
        <sz val="11"/>
      </rPr>
      <t>4</t>
    </r>
    <r>
      <rPr>
        <color indexed="64"/>
        <rFont val="Droid Sans Fallback"/>
        <sz val="11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</si>
  <si>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</si>
  <si>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</si>
  <si>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</si>
  <si>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</si>
  <si>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</si>
  <si>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</si>
  <si>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</si>
  <si>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 xml:space="preserve"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</si>
  <si>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</si>
  <si>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</si>
  <si>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</si>
  <si>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</si>
  <si>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</si>
  <si>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</si>
  <si>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</si>
  <si>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</si>
  <si>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</si>
  <si>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</si>
  <si>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</si>
  <si>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</si>
  <si>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</si>
  <si>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</si>
  <si>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</si>
  <si>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</si>
  <si>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</si>
  <si>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color indexed="64"/>
        <rFont val="Calibri"/>
        <sz val="11"/>
      </rPr>
      <t>5</t>
    </r>
    <r>
      <rPr>
        <color indexed="64"/>
        <rFont val="Droid Sans Fallback"/>
        <sz val="11"/>
      </rPr>
      <t>월</t>
    </r>
  </si>
  <si>
    <t>Geg</t>
  </si>
  <si>
    <t>Мај</t>
  </si>
  <si>
    <t>Mej</t>
  </si>
  <si>
    <t>می</t>
  </si>
  <si>
    <t>maj</t>
  </si>
  <si>
    <t>พฤษภาคม</t>
  </si>
  <si>
    <t xml:space="preserve"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</si>
  <si>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</si>
  <si>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</si>
  <si>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</si>
  <si>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</si>
  <si>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</si>
  <si>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</si>
  <si>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</si>
  <si>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</si>
  <si>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</si>
  <si>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</si>
  <si>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</si>
  <si>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</si>
  <si>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</si>
  <si>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</si>
  <si>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</si>
  <si>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</si>
  <si>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</si>
  <si>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color indexed="64"/>
        <rFont val="Calibri"/>
        <sz val="11"/>
      </rPr>
      <t>6</t>
    </r>
    <r>
      <rPr>
        <color indexed="64"/>
        <rFont val="Droid Sans Fallback"/>
        <sz val="11"/>
      </rPr>
      <t>월</t>
    </r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</si>
  <si>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</si>
  <si>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</si>
  <si>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</si>
  <si>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</si>
  <si>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</si>
  <si>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</si>
  <si>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</si>
  <si>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</si>
  <si>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</si>
  <si>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</si>
  <si>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 xml:space="preserve"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</si>
  <si>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</si>
  <si>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</si>
  <si>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</si>
  <si>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</si>
  <si>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</si>
  <si>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</si>
  <si>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</si>
  <si>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</si>
  <si>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</si>
  <si>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</si>
  <si>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</si>
  <si>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</si>
  <si>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</si>
  <si>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</si>
  <si>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</si>
  <si>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</si>
  <si>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</si>
  <si>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color indexed="64"/>
        <rFont val="Calibri"/>
        <sz val="11"/>
      </rPr>
      <t>7</t>
    </r>
    <r>
      <rPr>
        <color indexed="64"/>
        <rFont val="Droid Sans Fallback"/>
        <sz val="11"/>
      </rPr>
      <t>월</t>
    </r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</si>
  <si>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</si>
  <si>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</si>
  <si>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</si>
  <si>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</si>
  <si>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</si>
  <si>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</si>
  <si>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</si>
  <si>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</si>
  <si>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</si>
  <si>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 xml:space="preserve"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</si>
  <si>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</si>
  <si>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</si>
  <si>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</si>
  <si>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</si>
  <si>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</si>
  <si>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</si>
  <si>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</si>
  <si>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</si>
  <si>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</si>
  <si>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</si>
  <si>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</si>
  <si>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</si>
  <si>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</si>
  <si>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</si>
  <si>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</si>
  <si>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</si>
  <si>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</si>
  <si>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</si>
  <si>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</si>
  <si>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</si>
  <si>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</si>
  <si>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</si>
  <si>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</si>
  <si>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</si>
  <si>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</si>
  <si>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</si>
  <si>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 xml:space="preserve"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</si>
  <si>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</si>
  <si>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</si>
  <si>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</si>
  <si>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</si>
  <si>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</si>
  <si>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</si>
  <si>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</si>
  <si>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</si>
  <si>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</si>
  <si>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</si>
  <si>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</si>
  <si>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</si>
  <si>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</si>
  <si>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</si>
  <si>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</si>
  <si>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color indexed="64"/>
        <rFont val="Calibri"/>
        <sz val="11"/>
      </rPr>
      <t>9</t>
    </r>
    <r>
      <rPr>
        <color indexed="64"/>
        <rFont val="Droid Sans Fallback"/>
        <sz val="11"/>
      </rPr>
      <t>월</t>
    </r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</si>
  <si>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</si>
  <si>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</si>
  <si>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</si>
  <si>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</si>
  <si>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</si>
  <si>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</si>
  <si>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</si>
  <si>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</si>
  <si>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 xml:space="preserve">Tháng 9</t>
  </si>
  <si>
    <t>Вер</t>
  </si>
  <si>
    <t>ستمبر</t>
  </si>
  <si>
    <t>Oct</t>
  </si>
  <si>
    <t>Tet</t>
  </si>
  <si>
    <t xml:space="preserve"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</si>
  <si>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</si>
  <si>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</si>
  <si>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</si>
  <si>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</si>
  <si>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</si>
  <si>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</si>
  <si>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</si>
  <si>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</si>
  <si>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</si>
  <si>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color indexed="64"/>
        <rFont val="Calibri"/>
        <sz val="11"/>
      </rPr>
      <t>10</t>
    </r>
    <r>
      <rPr>
        <color indexed="64"/>
        <rFont val="Droid Sans Fallback"/>
        <sz val="11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</si>
  <si>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</si>
  <si>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</si>
  <si>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</si>
  <si>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</si>
  <si>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</si>
  <si>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</si>
  <si>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</si>
  <si>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</si>
  <si>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 xml:space="preserve">Tháng 10</t>
  </si>
  <si>
    <t>Жовт</t>
  </si>
  <si>
    <t>اکتوبر</t>
  </si>
  <si>
    <t>Nov</t>
  </si>
  <si>
    <t>Nën</t>
  </si>
  <si>
    <t xml:space="preserve"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</si>
  <si>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</si>
  <si>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</si>
  <si>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</si>
  <si>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</si>
  <si>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</si>
  <si>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</si>
  <si>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</si>
  <si>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</si>
  <si>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</si>
  <si>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</si>
  <si>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color indexed="64"/>
        <rFont val="Calibri"/>
        <sz val="11"/>
      </rPr>
      <t>11</t>
    </r>
    <r>
      <rPr>
        <color indexed="64"/>
        <rFont val="Droid Sans Fallback"/>
        <sz val="11"/>
      </rPr>
      <t>월</t>
    </r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</si>
  <si>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</si>
  <si>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</si>
  <si>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</si>
  <si>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</si>
  <si>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</si>
  <si>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</si>
  <si>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</si>
  <si>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</si>
  <si>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 xml:space="preserve">Tháng 11</t>
  </si>
  <si>
    <t>Лист</t>
  </si>
  <si>
    <t>نومبر</t>
  </si>
  <si>
    <t>Dec</t>
  </si>
  <si>
    <t>Dhj</t>
  </si>
  <si>
    <t xml:space="preserve"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</si>
  <si>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</si>
  <si>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</si>
  <si>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</si>
  <si>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</si>
  <si>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</si>
  <si>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</si>
  <si>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</si>
  <si>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</si>
  <si>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</si>
  <si>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</si>
  <si>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</si>
  <si>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</si>
  <si>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color indexed="64"/>
        <rFont val="Calibri"/>
        <sz val="11"/>
      </rPr>
      <t>12</t>
    </r>
    <r>
      <rPr>
        <color indexed="64"/>
        <rFont val="Droid Sans Fallback"/>
        <sz val="11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</si>
  <si>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</si>
  <si>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</si>
  <si>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</si>
  <si>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</si>
  <si>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</si>
  <si>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</si>
  <si>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</si>
  <si>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</si>
  <si>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 xml:space="preserve"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</si>
  <si>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</si>
  <si>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</si>
  <si>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</si>
  <si>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</si>
  <si>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</si>
  <si>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</si>
  <si>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</si>
  <si>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</si>
  <si>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</si>
  <si>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</si>
  <si>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</si>
  <si>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</si>
  <si>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</si>
  <si>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</si>
  <si>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</si>
  <si>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</si>
  <si>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</si>
  <si>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</si>
  <si>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</si>
  <si>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</si>
  <si>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</si>
  <si>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</si>
  <si>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</si>
  <si>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</si>
  <si>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</si>
  <si>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</si>
  <si>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</si>
  <si>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</si>
  <si>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</si>
  <si>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</si>
  <si>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</si>
  <si>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</si>
  <si>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</si>
  <si>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</si>
  <si>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</si>
  <si>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</si>
  <si>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</si>
  <si>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</si>
  <si>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</si>
  <si>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</si>
  <si>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</si>
  <si>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</si>
  <si>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</si>
  <si>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</si>
  <si>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</si>
  <si>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</si>
  <si>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</si>
  <si>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</si>
  <si>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</si>
  <si>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</si>
  <si>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</si>
  <si>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</si>
  <si>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</si>
  <si>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</si>
  <si>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</si>
  <si>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</si>
  <si>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</si>
  <si>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</si>
  <si>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</si>
  <si>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</si>
  <si>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</si>
  <si>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</si>
  <si>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</si>
  <si>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</si>
  <si>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</si>
  <si>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</si>
  <si>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</si>
  <si>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</si>
  <si>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</si>
  <si>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</si>
  <si>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</si>
  <si>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</si>
  <si>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</si>
  <si>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</si>
  <si>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</si>
  <si>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</si>
  <si>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</si>
  <si>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</si>
  <si>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</si>
  <si>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</si>
  <si>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</si>
  <si>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</si>
  <si>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</si>
  <si>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</si>
  <si>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</si>
  <si>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</si>
  <si>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მექსიკა</t>
  </si>
  <si>
    <t>Μεξικό</t>
  </si>
  <si>
    <t>מקסיקו</t>
  </si>
  <si>
    <t>Mexikó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</si>
  <si>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</si>
  <si>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</si>
  <si>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</si>
  <si>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</si>
  <si>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</si>
  <si>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</si>
  <si>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</si>
  <si>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</si>
  <si>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mexico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</si>
  <si>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</si>
  <si>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</si>
  <si>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</si>
  <si>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</si>
  <si>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</si>
  <si>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</si>
  <si>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</si>
  <si>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</si>
  <si>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</si>
  <si>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</si>
  <si>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</si>
  <si>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</si>
  <si>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</si>
  <si>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</si>
  <si>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</si>
  <si>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</si>
  <si>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</si>
  <si>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</si>
  <si>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</si>
  <si>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</si>
  <si>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</si>
  <si>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</si>
  <si>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</si>
  <si>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</si>
  <si>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</si>
  <si>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</si>
  <si>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Ֆրանսիա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</si>
  <si>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</si>
  <si>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</si>
  <si>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</si>
  <si>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</si>
  <si>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</si>
  <si>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</si>
  <si>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</si>
  <si>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</si>
  <si>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</si>
  <si>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</si>
  <si>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</si>
  <si>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</si>
  <si>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</si>
  <si>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</si>
  <si>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</si>
  <si>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</si>
  <si>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</si>
  <si>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</si>
  <si>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</si>
  <si>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</si>
  <si>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</si>
  <si>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</si>
  <si>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</si>
  <si>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</si>
  <si>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</si>
  <si>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</si>
  <si>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</si>
  <si>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</si>
  <si>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</si>
  <si>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</si>
  <si>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</si>
  <si>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</si>
  <si>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</si>
  <si>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</si>
  <si>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</si>
  <si>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</si>
  <si>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</si>
  <si>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</si>
  <si>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</si>
  <si>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</si>
  <si>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</si>
  <si>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</si>
  <si>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</si>
  <si>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</si>
  <si>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</si>
  <si>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</si>
  <si>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</si>
  <si>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</si>
  <si>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</si>
  <si>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</si>
  <si>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</si>
  <si>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</si>
  <si>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</si>
  <si>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</si>
  <si>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</si>
  <si>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</si>
  <si>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</si>
  <si>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</si>
  <si>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</si>
  <si>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</si>
  <si>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</si>
  <si>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</si>
  <si>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</si>
  <si>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</si>
  <si>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</si>
  <si>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</si>
  <si>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</si>
  <si>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</si>
  <si>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</si>
  <si>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</si>
  <si>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</si>
  <si>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</si>
  <si>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</si>
  <si>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</si>
  <si>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</si>
  <si>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</si>
  <si>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</si>
  <si>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</si>
  <si>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</si>
  <si>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</si>
  <si>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>韩国</t>
  </si>
  <si>
    <t>韓國</t>
  </si>
  <si>
    <t xml:space="preserve">Južna Koreja</t>
  </si>
  <si>
    <t xml:space="preserve">Jižní Korea</t>
  </si>
  <si>
    <t>Sydkorea</t>
  </si>
  <si>
    <t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</si>
  <si>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</si>
  <si>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</si>
  <si>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</si>
  <si>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</si>
  <si>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</si>
  <si>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>Dél-Korea</t>
  </si>
  <si>
    <t xml:space="preserve">Republik Korea</t>
  </si>
  <si>
    <t>Kórea</t>
  </si>
  <si>
    <t xml:space="preserve">Corea del Sud</t>
  </si>
  <si>
    <t>한국</t>
  </si>
  <si>
    <t xml:space="preserve">Korėjos Respublika</t>
  </si>
  <si>
    <t xml:space="preserve">Кореја Република</t>
  </si>
  <si>
    <t xml:space="preserve">Korea Repubblika</t>
  </si>
  <si>
    <t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</si>
  <si>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</si>
  <si>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</si>
  <si>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</si>
  <si>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</si>
  <si>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</si>
  <si>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</si>
  <si>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</si>
  <si>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</si>
  <si>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</si>
  <si>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</si>
  <si>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</si>
  <si>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</si>
  <si>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</si>
  <si>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>Poland</t>
  </si>
  <si>
    <t>Poloni</t>
  </si>
  <si>
    <t>بولندا</t>
  </si>
  <si>
    <t>Լեհաստան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</si>
  <si>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</si>
  <si>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</si>
  <si>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</si>
  <si>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</si>
  <si>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</si>
  <si>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</si>
  <si>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</si>
  <si>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</si>
  <si>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</si>
  <si>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</si>
  <si>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</si>
  <si>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</si>
  <si>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</si>
  <si>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</si>
  <si>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</si>
  <si>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</si>
  <si>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</si>
  <si>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</si>
  <si>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</si>
  <si>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</si>
  <si>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</si>
  <si>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</si>
  <si>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</si>
  <si>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</si>
  <si>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</si>
  <si>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</si>
  <si>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</si>
  <si>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</si>
  <si>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 xml:space="preserve"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</si>
  <si>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</si>
  <si>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</si>
  <si>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</si>
  <si>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</si>
  <si>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</si>
  <si>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</si>
  <si>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</si>
  <si>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</si>
  <si>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</si>
  <si>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</si>
  <si>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</si>
  <si>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</si>
  <si>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</si>
  <si>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</si>
  <si>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</si>
  <si>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</si>
  <si>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</si>
  <si>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</si>
  <si>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</si>
  <si>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</si>
  <si>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</si>
  <si>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</si>
  <si>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</si>
  <si>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</si>
  <si>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</si>
  <si>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</si>
  <si>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</si>
  <si>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</si>
  <si>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</si>
  <si>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</si>
  <si>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</si>
  <si>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</si>
  <si>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</si>
  <si>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</si>
  <si>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Serbia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</si>
  <si>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</si>
  <si>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</si>
  <si>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</si>
  <si>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</si>
  <si>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</si>
  <si>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</si>
  <si>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</si>
  <si>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</si>
  <si>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</si>
  <si>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</si>
  <si>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</si>
  <si>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</si>
  <si>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</si>
  <si>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</si>
  <si>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</si>
  <si>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</si>
  <si>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</si>
  <si>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</si>
  <si>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</si>
  <si>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</si>
  <si>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</si>
  <si>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</si>
  <si>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</si>
  <si>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</si>
  <si>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</si>
  <si>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</si>
  <si>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</si>
  <si>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</si>
  <si>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Peru</t>
  </si>
  <si>
    <t>بيرو</t>
  </si>
  <si>
    <t>Պերու</t>
  </si>
  <si>
    <t>Перу</t>
  </si>
  <si>
    <t>Perú</t>
  </si>
  <si>
    <t>秘鲁</t>
  </si>
  <si>
    <t>秘魯</t>
  </si>
  <si>
    <t>Pérou</t>
  </si>
  <si>
    <t>პერუს</t>
  </si>
  <si>
    <t>Περού</t>
  </si>
  <si>
    <t>פרו</t>
  </si>
  <si>
    <t>Perù</t>
  </si>
  <si>
    <t>페루</t>
  </si>
  <si>
    <t>پرو</t>
  </si>
  <si>
    <t>peru</t>
  </si>
  <si>
    <t>เปรู</t>
  </si>
  <si>
    <t>پیرو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</si>
  <si>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</si>
  <si>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</si>
  <si>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</si>
  <si>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</si>
  <si>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</si>
  <si>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</si>
  <si>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</si>
  <si>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</si>
  <si>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</si>
  <si>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</si>
  <si>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</si>
  <si>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</si>
  <si>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</si>
  <si>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</si>
  <si>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</si>
  <si>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</si>
  <si>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</si>
  <si>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</si>
  <si>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</si>
  <si>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</si>
  <si>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</si>
  <si>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</si>
  <si>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</si>
  <si>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</si>
  <si>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</si>
  <si>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</si>
  <si>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</si>
  <si>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</si>
  <si>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</si>
  <si>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</si>
  <si>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</si>
  <si>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</si>
  <si>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</si>
  <si>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</si>
  <si>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</si>
  <si>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</si>
  <si>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</si>
  <si>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</si>
  <si>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</si>
  <si>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</si>
  <si>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</si>
  <si>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</si>
  <si>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</si>
  <si>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</si>
  <si>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</si>
  <si>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</si>
  <si>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</si>
  <si>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</si>
  <si>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</si>
  <si>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</si>
  <si>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</si>
  <si>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</si>
  <si>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</si>
  <si>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</si>
  <si>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</si>
  <si>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</si>
  <si>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</si>
  <si>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</si>
  <si>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</si>
  <si>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</si>
  <si>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</si>
  <si>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</si>
  <si>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</si>
  <si>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</si>
  <si>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</si>
  <si>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</si>
  <si>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</si>
  <si>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</si>
  <si>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</si>
  <si>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</si>
  <si>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</si>
  <si>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</si>
  <si>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</si>
  <si>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</si>
  <si>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</si>
  <si>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</si>
  <si>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</si>
  <si>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</si>
  <si>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</si>
  <si>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</si>
  <si>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</si>
  <si>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</si>
  <si>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</si>
  <si>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</si>
  <si>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</si>
  <si>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</si>
  <si>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</si>
  <si>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</si>
  <si>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</si>
  <si>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</si>
  <si>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</si>
  <si>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</si>
  <si>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</si>
  <si>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</si>
  <si>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</si>
  <si>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</si>
  <si>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</si>
  <si>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</si>
  <si>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</si>
  <si>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</si>
  <si>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</si>
  <si>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</si>
  <si>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</si>
  <si>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</si>
  <si>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</si>
  <si>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</si>
  <si>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</si>
  <si>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</si>
  <si>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</si>
  <si>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</si>
  <si>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</si>
  <si>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კოლუმბია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</si>
  <si>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</si>
  <si>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</si>
  <si>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</si>
  <si>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</si>
  <si>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</si>
  <si>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</si>
  <si>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</si>
  <si>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</si>
  <si>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</si>
  <si>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</si>
  <si>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</si>
  <si>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</si>
  <si>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</si>
  <si>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</si>
  <si>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</si>
  <si>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</si>
  <si>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</si>
  <si>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</si>
  <si>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</si>
  <si>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</si>
  <si>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</si>
  <si>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</si>
  <si>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</si>
  <si>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</si>
  <si>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</si>
  <si>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</si>
  <si>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</si>
  <si>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</si>
  <si>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</si>
  <si>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</si>
  <si>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</si>
  <si>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</si>
  <si>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</si>
  <si>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</si>
  <si>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</si>
  <si>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</si>
  <si>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</si>
  <si>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</si>
  <si>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</si>
  <si>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</si>
  <si>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</si>
  <si>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 xml:space="preserve">Đan mạch</t>
  </si>
  <si>
    <t>Данія</t>
  </si>
  <si>
    <t>ڈنمارک</t>
  </si>
  <si>
    <t>Sweden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</si>
  <si>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</si>
  <si>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</si>
  <si>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</si>
  <si>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</si>
  <si>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</si>
  <si>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</si>
  <si>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</si>
  <si>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</si>
  <si>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</si>
  <si>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</si>
  <si>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</si>
  <si>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</si>
  <si>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</si>
  <si>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</si>
  <si>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</si>
  <si>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</si>
  <si>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</si>
  <si>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</si>
  <si>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</si>
  <si>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</si>
  <si>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</si>
  <si>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</si>
  <si>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</si>
  <si>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Isvezja</t>
  </si>
  <si>
    <t>سوئد</t>
  </si>
  <si>
    <t>Szwecja</t>
  </si>
  <si>
    <t>Suécia</t>
  </si>
  <si>
    <t>Suedia</t>
  </si>
  <si>
    <t>Suecia</t>
  </si>
  <si>
    <t>สวีเดน</t>
  </si>
  <si>
    <t xml:space="preserve">Thụy Điển</t>
  </si>
  <si>
    <t>Швеція</t>
  </si>
  <si>
    <t>سویڈن</t>
  </si>
  <si>
    <t xml:space="preserve">Costa Rica</t>
  </si>
  <si>
    <t>Kostarikë</t>
  </si>
  <si>
    <t>كوستاريكا</t>
  </si>
  <si>
    <t xml:space="preserve">Կոստա - Ռիկա</t>
  </si>
  <si>
    <t>哥斯达黎加</t>
  </si>
  <si>
    <t>哥斯達黎加</t>
  </si>
  <si>
    <t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</si>
  <si>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</si>
  <si>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</si>
  <si>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</si>
  <si>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</si>
  <si>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>Costarica</t>
  </si>
  <si>
    <t>코스타리카</t>
  </si>
  <si>
    <t xml:space="preserve">Коста Рика</t>
  </si>
  <si>
    <t>کاستاریکا</t>
  </si>
  <si>
    <t>Kostaryka</t>
  </si>
  <si>
    <t>Коста-Рика</t>
  </si>
  <si>
    <t>Костарика</t>
  </si>
  <si>
    <t xml:space="preserve">COSTA RICA</t>
  </si>
  <si>
    <t>คอสตาริกา</t>
  </si>
  <si>
    <t xml:space="preserve">Коста -Ріка</t>
  </si>
  <si>
    <t xml:space="preserve"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</si>
  <si>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</si>
  <si>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</si>
  <si>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</si>
  <si>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</si>
  <si>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</si>
  <si>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</si>
  <si>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</si>
  <si>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</si>
  <si>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</si>
  <si>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</si>
  <si>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</si>
  <si>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</si>
  <si>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</si>
  <si>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</si>
  <si>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</si>
  <si>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</si>
  <si>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</si>
  <si>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</si>
  <si>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</si>
  <si>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</si>
  <si>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</si>
  <si>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</si>
  <si>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</si>
  <si>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</si>
  <si>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</si>
  <si>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</si>
  <si>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 xml:space="preserve">Nhật Bản</t>
  </si>
  <si>
    <t>Японія</t>
  </si>
  <si>
    <t>جاپان</t>
  </si>
  <si>
    <t>Iceland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</si>
  <si>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</si>
  <si>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</si>
  <si>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</si>
  <si>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</si>
  <si>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</si>
  <si>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</si>
  <si>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</si>
  <si>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</si>
  <si>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</si>
  <si>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</si>
  <si>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</si>
  <si>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</si>
  <si>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</si>
  <si>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</si>
  <si>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</si>
  <si>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</si>
  <si>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</si>
  <si>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</si>
  <si>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</si>
  <si>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</si>
  <si>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</si>
  <si>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</si>
  <si>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</si>
  <si>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</si>
  <si>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</si>
  <si>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</si>
  <si>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 xml:space="preserve">آیس لینڈ</t>
  </si>
  <si>
    <t>Senegal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</si>
  <si>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</si>
  <si>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</si>
  <si>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</si>
  <si>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</si>
  <si>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</si>
  <si>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</si>
  <si>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</si>
  <si>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</si>
  <si>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</si>
  <si>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</si>
  <si>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</si>
  <si>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</si>
  <si>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</si>
  <si>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</si>
  <si>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</si>
  <si>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</si>
  <si>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</si>
  <si>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</si>
  <si>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Tunisia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</si>
  <si>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</si>
  <si>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</si>
  <si>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</si>
  <si>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</si>
  <si>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</si>
  <si>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</si>
  <si>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</si>
  <si>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</si>
  <si>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</si>
  <si>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</si>
  <si>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</si>
  <si>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</si>
  <si>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</si>
  <si>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</si>
  <si>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</si>
  <si>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</si>
  <si>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</si>
  <si>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</si>
  <si>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</si>
  <si>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</si>
  <si>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</si>
  <si>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</si>
  <si>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Tunisien</t>
  </si>
  <si>
    <t>ตูนิเซีย</t>
  </si>
  <si>
    <t>Tunus</t>
  </si>
  <si>
    <t>Туніс</t>
  </si>
  <si>
    <t>تیونس</t>
  </si>
  <si>
    <t>Egypt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</si>
  <si>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</si>
  <si>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</si>
  <si>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</si>
  <si>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</si>
  <si>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</si>
  <si>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</si>
  <si>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</si>
  <si>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</si>
  <si>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</si>
  <si>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</si>
  <si>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</si>
  <si>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</si>
  <si>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</si>
  <si>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</si>
  <si>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</si>
  <si>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</si>
  <si>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</si>
  <si>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</si>
  <si>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</si>
  <si>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</si>
  <si>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</si>
  <si>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</si>
  <si>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</si>
  <si>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</si>
  <si>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</si>
  <si>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</si>
  <si>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</si>
  <si>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 xml:space="preserve">Ai Cập</t>
  </si>
  <si>
    <t>Єгипет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</si>
  <si>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</si>
  <si>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</si>
  <si>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</si>
  <si>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</si>
  <si>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</si>
  <si>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</si>
  <si>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</si>
  <si>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</si>
  <si>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</si>
  <si>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</si>
  <si>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</si>
  <si>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</si>
  <si>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</si>
  <si>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</si>
  <si>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</si>
  <si>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</si>
  <si>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</si>
  <si>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</si>
  <si>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</si>
  <si>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</si>
  <si>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</si>
  <si>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</si>
  <si>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</si>
  <si>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</si>
  <si>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</si>
  <si>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</si>
  <si>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</si>
  <si>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</si>
  <si>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</si>
  <si>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</si>
  <si>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</si>
  <si>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</si>
  <si>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</si>
  <si>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</si>
  <si>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</si>
  <si>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</si>
  <si>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</si>
  <si>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</si>
  <si>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</si>
  <si>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</si>
  <si>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</si>
  <si>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</si>
  <si>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</si>
  <si>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</si>
  <si>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</si>
  <si>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</si>
  <si>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</si>
  <si>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</si>
  <si>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</si>
  <si>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</si>
  <si>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</si>
  <si>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</si>
  <si>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</si>
  <si>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</si>
  <si>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</si>
  <si>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</si>
  <si>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</si>
  <si>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</si>
  <si>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</si>
  <si>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</si>
  <si>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</si>
  <si>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</si>
  <si>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</si>
  <si>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</si>
  <si>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</si>
  <si>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</si>
  <si>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</si>
  <si>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</si>
  <si>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</si>
  <si>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</si>
  <si>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</si>
  <si>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</si>
  <si>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</si>
  <si>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</si>
  <si>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</si>
  <si>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</si>
  <si>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</si>
  <si>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</si>
  <si>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</si>
  <si>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</si>
  <si>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Morocco</t>
  </si>
  <si>
    <t>Marok</t>
  </si>
  <si>
    <t>المغرب</t>
  </si>
  <si>
    <t>սեկ</t>
  </si>
  <si>
    <t>Mərakeş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</si>
  <si>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</si>
  <si>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</si>
  <si>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</si>
  <si>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</si>
  <si>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</si>
  <si>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</si>
  <si>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</si>
  <si>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</si>
  <si>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</si>
  <si>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</si>
  <si>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</si>
  <si>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</si>
  <si>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</si>
  <si>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</si>
  <si>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</si>
  <si>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</si>
  <si>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</si>
  <si>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</si>
  <si>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</si>
  <si>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</si>
  <si>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</si>
  <si>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</si>
  <si>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</si>
  <si>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</si>
  <si>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</si>
  <si>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</si>
  <si>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</si>
  <si>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</si>
  <si>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</si>
  <si>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</si>
  <si>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</si>
  <si>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</si>
  <si>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</si>
  <si>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</si>
  <si>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</si>
  <si>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</si>
  <si>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</si>
  <si>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</si>
  <si>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</si>
  <si>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</si>
  <si>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</si>
  <si>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</si>
  <si>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</si>
  <si>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 xml:space="preserve"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</si>
  <si>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</si>
  <si>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</si>
  <si>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</si>
  <si>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</si>
  <si>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</si>
  <si>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</si>
  <si>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</si>
  <si>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</si>
  <si>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</si>
  <si>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</si>
  <si>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</si>
  <si>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</si>
  <si>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</si>
  <si>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</si>
  <si>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</si>
  <si>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</si>
  <si>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</si>
  <si>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</si>
  <si>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</si>
  <si>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</si>
  <si>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</si>
  <si>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</si>
  <si>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</si>
  <si>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</si>
  <si>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</si>
  <si>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</si>
  <si>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</si>
  <si>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 xml:space="preserve"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</si>
  <si>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</si>
  <si>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</si>
  <si>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</si>
  <si>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</si>
  <si>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</si>
  <si>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</si>
  <si>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</si>
  <si>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 xml:space="preserve"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</si>
  <si>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</si>
  <si>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</si>
  <si>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</si>
  <si>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</si>
  <si>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</si>
  <si>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</si>
  <si>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</si>
  <si>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</si>
  <si>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</si>
  <si>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</si>
  <si>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</si>
  <si>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</si>
  <si>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</si>
  <si>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</si>
  <si>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</si>
  <si>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</si>
  <si>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</si>
  <si>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</si>
  <si>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</si>
  <si>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</si>
  <si>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</si>
  <si>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</si>
  <si>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</si>
  <si>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</si>
  <si>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</si>
  <si>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</si>
  <si>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</si>
  <si>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</si>
  <si>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</si>
  <si>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</si>
  <si>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</si>
  <si>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</si>
  <si>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</si>
  <si>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</si>
  <si>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</si>
  <si>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</si>
  <si>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 xml:space="preserve">Thụy Sĩ</t>
  </si>
  <si>
    <t>Швейцарія</t>
  </si>
  <si>
    <t>سوئٹزرلینڈ</t>
  </si>
  <si>
    <t>Panama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</si>
  <si>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</si>
  <si>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</si>
  <si>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</si>
  <si>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</si>
  <si>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</si>
  <si>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</si>
  <si>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</si>
  <si>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</si>
  <si>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</si>
  <si>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</si>
  <si>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</si>
  <si>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</si>
  <si>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</si>
  <si>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</si>
  <si>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</si>
  <si>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</si>
  <si>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</si>
  <si>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</si>
  <si>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</si>
  <si>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</si>
  <si>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>沙特阿拉伯</t>
  </si>
  <si>
    <t xml:space="preserve">Saudijska Arabija</t>
  </si>
  <si>
    <t xml:space="preserve">Saudská arábie</t>
  </si>
  <si>
    <t xml:space="preserve">Saudi Arabien</t>
  </si>
  <si>
    <t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</si>
  <si>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</si>
  <si>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</si>
  <si>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</si>
  <si>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</si>
  <si>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>Szaud-Arábia</t>
  </si>
  <si>
    <t xml:space="preserve">Arab Saudi</t>
  </si>
  <si>
    <t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</si>
  <si>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</si>
  <si>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</si>
  <si>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</si>
  <si>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</si>
  <si>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</si>
  <si>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</si>
  <si>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</si>
  <si>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</si>
  <si>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</si>
  <si>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</si>
  <si>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</si>
  <si>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</si>
  <si>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</si>
  <si>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</si>
  <si>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>Saudiarabien</t>
  </si>
  <si>
    <t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</si>
  <si>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</si>
  <si>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</si>
  <si>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</si>
  <si>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</si>
  <si>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>1A</t>
  </si>
  <si>
    <t>A1</t>
  </si>
  <si>
    <r>
      <rPr>
        <color indexed="64"/>
        <rFont val="Calibri"/>
        <sz val="11"/>
      </rPr>
      <t xml:space="preserve">A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</si>
  <si>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A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</si>
  <si>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A</t>
    </r>
  </si>
  <si>
    <t>۱الف</t>
  </si>
  <si>
    <t>2A</t>
  </si>
  <si>
    <t>A2</t>
  </si>
  <si>
    <r>
      <rPr>
        <color indexed="64"/>
        <rFont val="Calibri"/>
        <sz val="11"/>
      </rPr>
      <t xml:space="preserve">A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</si>
  <si>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A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</si>
  <si>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A</t>
    </r>
  </si>
  <si>
    <t>۲الف</t>
  </si>
  <si>
    <t>1B</t>
  </si>
  <si>
    <t>B1</t>
  </si>
  <si>
    <r>
      <rPr>
        <color indexed="64"/>
        <rFont val="Calibri"/>
        <sz val="11"/>
      </rPr>
      <t xml:space="preserve">B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</si>
  <si>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B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</si>
  <si>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B</t>
    </r>
  </si>
  <si>
    <t>۱ب</t>
  </si>
  <si>
    <t>2B</t>
  </si>
  <si>
    <t>B2</t>
  </si>
  <si>
    <r>
      <rPr>
        <color indexed="64"/>
        <rFont val="Calibri"/>
        <sz val="11"/>
      </rPr>
      <t xml:space="preserve">B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</si>
  <si>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</t>
    </r>
    <r>
      <rPr>
        <color indexed="64"/>
        <rFont val="Calibri"/>
        <sz val="11"/>
      </rPr>
      <t>B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</si>
  <si>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B</t>
    </r>
  </si>
  <si>
    <t>۲ب</t>
  </si>
  <si>
    <t>1C</t>
  </si>
  <si>
    <t>C1</t>
  </si>
  <si>
    <t>1Γ</t>
  </si>
  <si>
    <r>
      <rPr>
        <color indexed="64"/>
        <rFont val="Calibri"/>
        <sz val="11"/>
      </rPr>
      <t xml:space="preserve">C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</si>
  <si>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1Ċ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</si>
  <si>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C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</si>
  <si>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C</t>
    </r>
  </si>
  <si>
    <t>۱ج</t>
  </si>
  <si>
    <t>2C</t>
  </si>
  <si>
    <t>C2</t>
  </si>
  <si>
    <t>2Γ</t>
  </si>
  <si>
    <r>
      <rPr>
        <color indexed="64"/>
        <rFont val="Calibri"/>
        <sz val="11"/>
      </rPr>
      <t xml:space="preserve">C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</si>
  <si>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t>2Ċ</t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</si>
  <si>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C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</si>
  <si>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C</t>
    </r>
  </si>
  <si>
    <t>۲ج</t>
  </si>
  <si>
    <t>1D</t>
  </si>
  <si>
    <t>D1</t>
  </si>
  <si>
    <t>1Δ</t>
  </si>
  <si>
    <r>
      <rPr>
        <color indexed="64"/>
        <rFont val="Calibri"/>
        <sz val="11"/>
      </rPr>
      <t xml:space="preserve">D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</si>
  <si>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D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</si>
  <si>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D</t>
    </r>
  </si>
  <si>
    <t>۱د</t>
  </si>
  <si>
    <t>2D</t>
  </si>
  <si>
    <t>D2</t>
  </si>
  <si>
    <t>2Δ</t>
  </si>
  <si>
    <r>
      <rPr>
        <color indexed="64"/>
        <rFont val="Calibri"/>
        <sz val="11"/>
      </rPr>
      <t xml:space="preserve">D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</si>
  <si>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D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</si>
  <si>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D</t>
    </r>
  </si>
  <si>
    <t>۲د</t>
  </si>
  <si>
    <t>1E</t>
  </si>
  <si>
    <t>E1</t>
  </si>
  <si>
    <t>1Ε</t>
  </si>
  <si>
    <r>
      <rPr>
        <color indexed="64"/>
        <rFont val="Calibri"/>
        <sz val="11"/>
      </rPr>
      <t xml:space="preserve">E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</si>
  <si>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E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</si>
  <si>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E</t>
    </r>
  </si>
  <si>
    <t>۱ھ</t>
  </si>
  <si>
    <t>2E</t>
  </si>
  <si>
    <t>E2</t>
  </si>
  <si>
    <t>2Ε</t>
  </si>
  <si>
    <r>
      <rPr>
        <color indexed="64"/>
        <rFont val="Calibri"/>
        <sz val="11"/>
      </rPr>
      <t xml:space="preserve">E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</si>
  <si>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E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</si>
  <si>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E</t>
    </r>
  </si>
  <si>
    <t>۲ھ</t>
  </si>
  <si>
    <t>1F</t>
  </si>
  <si>
    <t>F1</t>
  </si>
  <si>
    <t>1ΣΤ</t>
  </si>
  <si>
    <r>
      <rPr>
        <color indexed="64"/>
        <rFont val="Calibri"/>
        <sz val="11"/>
      </rPr>
      <t xml:space="preserve">F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</si>
  <si>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F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</si>
  <si>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F</t>
    </r>
  </si>
  <si>
    <t>۱و</t>
  </si>
  <si>
    <t>2F</t>
  </si>
  <si>
    <t>F2</t>
  </si>
  <si>
    <t>2ΣΤ</t>
  </si>
  <si>
    <r>
      <rPr>
        <color indexed="64"/>
        <rFont val="Calibri"/>
        <sz val="11"/>
      </rPr>
      <t xml:space="preserve">F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</si>
  <si>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F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</si>
  <si>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F</t>
    </r>
  </si>
  <si>
    <t>۲و</t>
  </si>
  <si>
    <t>1G</t>
  </si>
  <si>
    <t>G1</t>
  </si>
  <si>
    <t>1Ζ</t>
  </si>
  <si>
    <r>
      <rPr>
        <color indexed="64"/>
        <rFont val="Calibri"/>
        <sz val="11"/>
      </rPr>
      <t xml:space="preserve">G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</si>
  <si>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1Ġ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</si>
  <si>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G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</si>
  <si>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G</t>
    </r>
  </si>
  <si>
    <t>۱ز</t>
  </si>
  <si>
    <t>2G</t>
  </si>
  <si>
    <t>G2</t>
  </si>
  <si>
    <t>2Ζ</t>
  </si>
  <si>
    <r>
      <rPr>
        <color indexed="64"/>
        <rFont val="Calibri"/>
        <sz val="11"/>
      </rPr>
      <t xml:space="preserve">G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</si>
  <si>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t>2Ġ</t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</si>
  <si>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G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</si>
  <si>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G</t>
    </r>
  </si>
  <si>
    <t>۲ز</t>
  </si>
  <si>
    <t>1H</t>
  </si>
  <si>
    <t>H1</t>
  </si>
  <si>
    <r>
      <rPr>
        <color indexed="64"/>
        <rFont val="Calibri"/>
        <sz val="11"/>
      </rPr>
      <t xml:space="preserve">H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1</t>
    </r>
    <r>
      <rPr>
        <color indexed="64"/>
        <rFont val="Droid Sans Fallback"/>
        <sz val="11"/>
      </rPr>
      <t>위</t>
    </r>
  </si>
  <si>
    <t>1Ħ</t>
  </si>
  <si>
    <r>
      <rPr>
        <color indexed="64"/>
        <rFont val="Noto Sans Devanagari"/>
        <sz val="11"/>
      </rPr>
      <t xml:space="preserve">اول گروه </t>
    </r>
    <r>
      <rPr>
        <color indexed="64"/>
        <rFont val="Calibri"/>
        <sz val="11"/>
      </rPr>
      <t>H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</si>
  <si>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1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H</t>
    </r>
  </si>
  <si>
    <t>۱ح</t>
  </si>
  <si>
    <t>2H</t>
  </si>
  <si>
    <t>H2</t>
  </si>
  <si>
    <r>
      <rPr>
        <color indexed="64"/>
        <rFont val="Calibri"/>
        <sz val="11"/>
      </rPr>
      <t xml:space="preserve">H </t>
    </r>
    <r>
      <rPr>
        <color indexed="64"/>
        <rFont val="Droid Sans Fallback"/>
        <sz val="11"/>
      </rPr>
      <t xml:space="preserve">그룹 </t>
    </r>
    <r>
      <rPr>
        <color indexed="64"/>
        <rFont val="Calibri"/>
        <sz val="11"/>
      </rPr>
      <t>2</t>
    </r>
    <r>
      <rPr>
        <color indexed="64"/>
        <rFont val="Droid Sans Fallback"/>
        <sz val="11"/>
      </rPr>
      <t>위</t>
    </r>
  </si>
  <si>
    <r>
      <rPr>
        <color indexed="64"/>
        <rFont val="Noto Sans Devanagari"/>
        <sz val="11"/>
      </rPr>
      <t xml:space="preserve">دوم گروه </t>
    </r>
    <r>
      <rPr>
        <color indexed="64"/>
        <rFont val="Calibri"/>
        <sz val="11"/>
      </rPr>
      <t>H</t>
    </r>
  </si>
  <si>
    <r>
      <rPr>
        <color indexed="64"/>
        <rFont val="Noto Sans Devanagari"/>
        <sz val="11"/>
      </rPr>
      <t xml:space="preserve">ที่ </t>
    </r>
    <r>
      <rPr>
        <color indexed="64"/>
        <rFont val="Calibri"/>
        <sz val="11"/>
      </rPr>
      <t xml:space="preserve">2 </t>
    </r>
    <r>
      <rPr>
        <color indexed="64"/>
        <rFont val="Noto Sans Devanagari"/>
        <sz val="11"/>
      </rPr>
      <t xml:space="preserve">สาย </t>
    </r>
    <r>
      <rPr>
        <color indexed="64"/>
        <rFont val="Calibri"/>
        <sz val="11"/>
      </rPr>
      <t>H</t>
    </r>
  </si>
  <si>
    <t>۲ح</t>
  </si>
  <si>
    <t>W49</t>
  </si>
  <si>
    <t>F49</t>
  </si>
  <si>
    <t>Q49</t>
  </si>
  <si>
    <t>G49</t>
  </si>
  <si>
    <r>
      <rPr>
        <color indexed="64"/>
        <rFont val="Calibri"/>
        <sz val="11"/>
      </rPr>
      <t>49</t>
    </r>
    <r>
      <rPr>
        <color indexed="64"/>
        <rFont val="Droid Sans Fallback"/>
        <sz val="11"/>
      </rPr>
      <t>胜者</t>
    </r>
  </si>
  <si>
    <t>V49</t>
  </si>
  <si>
    <t>მ49</t>
  </si>
  <si>
    <t>Ν49</t>
  </si>
  <si>
    <t>GY49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</si>
  <si>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</si>
  <si>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L49</t>
  </si>
  <si>
    <t>П49</t>
  </si>
  <si>
    <t>R49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</si>
  <si>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49</t>
    </r>
  </si>
  <si>
    <t>C49</t>
  </si>
  <si>
    <t>P49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</si>
  <si>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49</t>
    </r>
  </si>
  <si>
    <t>T49</t>
  </si>
  <si>
    <t xml:space="preserve">Переможець 49</t>
  </si>
  <si>
    <t xml:space="preserve">۴۹ جیت</t>
  </si>
  <si>
    <t>W50</t>
  </si>
  <si>
    <t>F50</t>
  </si>
  <si>
    <t>Q50</t>
  </si>
  <si>
    <t>G50</t>
  </si>
  <si>
    <r>
      <rPr>
        <color indexed="64"/>
        <rFont val="Calibri"/>
        <sz val="11"/>
      </rPr>
      <t>50</t>
    </r>
    <r>
      <rPr>
        <color indexed="64"/>
        <rFont val="Droid Sans Fallback"/>
        <sz val="11"/>
      </rPr>
      <t>胜者</t>
    </r>
  </si>
  <si>
    <t>V50</t>
  </si>
  <si>
    <t>მ50</t>
  </si>
  <si>
    <t>Ν50</t>
  </si>
  <si>
    <t>GY50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</si>
  <si>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</si>
  <si>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L50</t>
  </si>
  <si>
    <t>П50</t>
  </si>
  <si>
    <t>R50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</si>
  <si>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50</t>
    </r>
  </si>
  <si>
    <t>C50</t>
  </si>
  <si>
    <t>P50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</si>
  <si>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50</t>
    </r>
  </si>
  <si>
    <t>T50</t>
  </si>
  <si>
    <t xml:space="preserve">Переможець 50</t>
  </si>
  <si>
    <t xml:space="preserve">۵۰ جیت</t>
  </si>
  <si>
    <t>W51</t>
  </si>
  <si>
    <t>F51</t>
  </si>
  <si>
    <t>Q51</t>
  </si>
  <si>
    <t>G51</t>
  </si>
  <si>
    <r>
      <rPr>
        <color indexed="64"/>
        <rFont val="Calibri"/>
        <sz val="11"/>
      </rPr>
      <t>51</t>
    </r>
    <r>
      <rPr>
        <color indexed="64"/>
        <rFont val="Droid Sans Fallback"/>
        <sz val="11"/>
      </rPr>
      <t>胜者</t>
    </r>
  </si>
  <si>
    <t>V51</t>
  </si>
  <si>
    <t>მ51</t>
  </si>
  <si>
    <t>Ν51</t>
  </si>
  <si>
    <t>GY51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</si>
  <si>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3 </t>
    </r>
    <r>
      <rPr>
        <color indexed="64"/>
        <rFont val="Droid Sans Fallback"/>
        <sz val="11"/>
      </rPr>
      <t>승자</t>
    </r>
  </si>
  <si>
    <t>L51</t>
  </si>
  <si>
    <t>П51</t>
  </si>
  <si>
    <t>R51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</si>
  <si>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51</t>
    </r>
  </si>
  <si>
    <t>C51</t>
  </si>
  <si>
    <t>P51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</si>
  <si>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51</t>
    </r>
  </si>
  <si>
    <t>T51</t>
  </si>
  <si>
    <t xml:space="preserve">Переможець 51</t>
  </si>
  <si>
    <t xml:space="preserve">۵۱ جیت</t>
  </si>
  <si>
    <t>W52</t>
  </si>
  <si>
    <t>F52</t>
  </si>
  <si>
    <t>Q52</t>
  </si>
  <si>
    <t>G52</t>
  </si>
  <si>
    <r>
      <rPr>
        <color indexed="64"/>
        <rFont val="Calibri"/>
        <sz val="11"/>
      </rPr>
      <t>52</t>
    </r>
    <r>
      <rPr>
        <color indexed="64"/>
        <rFont val="Droid Sans Fallback"/>
        <sz val="11"/>
      </rPr>
      <t>胜者</t>
    </r>
  </si>
  <si>
    <t>V52</t>
  </si>
  <si>
    <t>მ52</t>
  </si>
  <si>
    <t>Ν52</t>
  </si>
  <si>
    <t>GY52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</si>
  <si>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4 </t>
    </r>
    <r>
      <rPr>
        <color indexed="64"/>
        <rFont val="Droid Sans Fallback"/>
        <sz val="11"/>
      </rPr>
      <t>승자</t>
    </r>
  </si>
  <si>
    <t>L52</t>
  </si>
  <si>
    <t>П52</t>
  </si>
  <si>
    <t>R52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</si>
  <si>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52</t>
    </r>
  </si>
  <si>
    <t>C52</t>
  </si>
  <si>
    <t>P52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</si>
  <si>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52</t>
    </r>
  </si>
  <si>
    <t>T52</t>
  </si>
  <si>
    <t xml:space="preserve">Переможець 52</t>
  </si>
  <si>
    <t xml:space="preserve">۵۲ جیت</t>
  </si>
  <si>
    <t>W53</t>
  </si>
  <si>
    <t>F53</t>
  </si>
  <si>
    <t>Q53</t>
  </si>
  <si>
    <t>G53</t>
  </si>
  <si>
    <r>
      <rPr>
        <color indexed="64"/>
        <rFont val="Calibri"/>
        <sz val="11"/>
      </rPr>
      <t>53</t>
    </r>
    <r>
      <rPr>
        <color indexed="64"/>
        <rFont val="Droid Sans Fallback"/>
        <sz val="11"/>
      </rPr>
      <t>胜者</t>
    </r>
  </si>
  <si>
    <t>V53</t>
  </si>
  <si>
    <t>მ53</t>
  </si>
  <si>
    <t>Ν53</t>
  </si>
  <si>
    <t>GY53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</si>
  <si>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5 </t>
    </r>
    <r>
      <rPr>
        <color indexed="64"/>
        <rFont val="Droid Sans Fallback"/>
        <sz val="11"/>
      </rPr>
      <t>승자</t>
    </r>
  </si>
  <si>
    <t>L53</t>
  </si>
  <si>
    <t>П53</t>
  </si>
  <si>
    <t>R53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</si>
  <si>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53</t>
    </r>
  </si>
  <si>
    <t>C53</t>
  </si>
  <si>
    <t>P53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</si>
  <si>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53</t>
    </r>
  </si>
  <si>
    <t>T53</t>
  </si>
  <si>
    <t xml:space="preserve">Переможець 53</t>
  </si>
  <si>
    <t xml:space="preserve">۵۳ جیت</t>
  </si>
  <si>
    <t>W54</t>
  </si>
  <si>
    <t>F54</t>
  </si>
  <si>
    <t>Q54</t>
  </si>
  <si>
    <t>G54</t>
  </si>
  <si>
    <r>
      <rPr>
        <color indexed="64"/>
        <rFont val="Calibri"/>
        <sz val="11"/>
      </rPr>
      <t>54</t>
    </r>
    <r>
      <rPr>
        <color indexed="64"/>
        <rFont val="Droid Sans Fallback"/>
        <sz val="11"/>
      </rPr>
      <t>胜者</t>
    </r>
  </si>
  <si>
    <t>V54</t>
  </si>
  <si>
    <t>მ54</t>
  </si>
  <si>
    <t>Ν54</t>
  </si>
  <si>
    <t>GY54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</si>
  <si>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6 </t>
    </r>
    <r>
      <rPr>
        <color indexed="64"/>
        <rFont val="Droid Sans Fallback"/>
        <sz val="11"/>
      </rPr>
      <t>승자</t>
    </r>
  </si>
  <si>
    <t>L54</t>
  </si>
  <si>
    <t>П54</t>
  </si>
  <si>
    <t>R54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</si>
  <si>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54</t>
    </r>
  </si>
  <si>
    <t>C54</t>
  </si>
  <si>
    <t>P54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</si>
  <si>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54</t>
    </r>
  </si>
  <si>
    <t>T54</t>
  </si>
  <si>
    <t xml:space="preserve">Переможець 54</t>
  </si>
  <si>
    <t xml:space="preserve">۵۴ جیت</t>
  </si>
  <si>
    <t>W55</t>
  </si>
  <si>
    <t>F55</t>
  </si>
  <si>
    <t>Q55</t>
  </si>
  <si>
    <t>G55</t>
  </si>
  <si>
    <r>
      <rPr>
        <color indexed="64"/>
        <rFont val="Calibri"/>
        <sz val="11"/>
      </rPr>
      <t>55</t>
    </r>
    <r>
      <rPr>
        <color indexed="64"/>
        <rFont val="Droid Sans Fallback"/>
        <sz val="11"/>
      </rPr>
      <t>胜者</t>
    </r>
  </si>
  <si>
    <t>V55</t>
  </si>
  <si>
    <t>მ55</t>
  </si>
  <si>
    <t>Ν55</t>
  </si>
  <si>
    <t>GY55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</si>
  <si>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7 </t>
    </r>
    <r>
      <rPr>
        <color indexed="64"/>
        <rFont val="Droid Sans Fallback"/>
        <sz val="11"/>
      </rPr>
      <t>승자</t>
    </r>
  </si>
  <si>
    <t>L55</t>
  </si>
  <si>
    <t>П55</t>
  </si>
  <si>
    <t>R55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</si>
  <si>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55</t>
    </r>
  </si>
  <si>
    <t>C55</t>
  </si>
  <si>
    <t>P55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</si>
  <si>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55</t>
    </r>
  </si>
  <si>
    <t>T55</t>
  </si>
  <si>
    <t xml:space="preserve">Переможець 55</t>
  </si>
  <si>
    <t xml:space="preserve">۵۵ جیت</t>
  </si>
  <si>
    <t>W56</t>
  </si>
  <si>
    <t>F56</t>
  </si>
  <si>
    <t>Q56</t>
  </si>
  <si>
    <t>G56</t>
  </si>
  <si>
    <r>
      <rPr>
        <color indexed="64"/>
        <rFont val="Calibri"/>
        <sz val="11"/>
      </rPr>
      <t>56</t>
    </r>
    <r>
      <rPr>
        <color indexed="64"/>
        <rFont val="Droid Sans Fallback"/>
        <sz val="11"/>
      </rPr>
      <t>胜者</t>
    </r>
  </si>
  <si>
    <t>V56</t>
  </si>
  <si>
    <t>მ56</t>
  </si>
  <si>
    <t>Ν56</t>
  </si>
  <si>
    <t>GY56</t>
  </si>
  <si>
    <r>
      <rPr>
        <color indexed="64"/>
        <rFont val="Calibri"/>
        <sz val="11"/>
      </rPr>
      <t>16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8 </t>
    </r>
    <r>
      <rPr>
        <color indexed="64"/>
        <rFont val="Droid Sans Fallback"/>
        <sz val="11"/>
      </rPr>
      <t>승자</t>
    </r>
  </si>
  <si>
    <t>L56</t>
  </si>
  <si>
    <t>П56</t>
  </si>
  <si>
    <t>R56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</si>
  <si>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56</t>
    </r>
  </si>
  <si>
    <t>C56</t>
  </si>
  <si>
    <t>P56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</si>
  <si>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56</t>
    </r>
  </si>
  <si>
    <t>T56</t>
  </si>
  <si>
    <t xml:space="preserve">Переможець 56</t>
  </si>
  <si>
    <t xml:space="preserve">۵۶ جیت</t>
  </si>
  <si>
    <t>W57</t>
  </si>
  <si>
    <t>F57</t>
  </si>
  <si>
    <t>Q57</t>
  </si>
  <si>
    <t>G57</t>
  </si>
  <si>
    <r>
      <rPr>
        <color indexed="64"/>
        <rFont val="Calibri"/>
        <sz val="11"/>
      </rPr>
      <t>57</t>
    </r>
    <r>
      <rPr>
        <color indexed="64"/>
        <rFont val="Droid Sans Fallback"/>
        <sz val="11"/>
      </rPr>
      <t>胜者</t>
    </r>
  </si>
  <si>
    <t>V57</t>
  </si>
  <si>
    <t>მ57</t>
  </si>
  <si>
    <t>Ν57</t>
  </si>
  <si>
    <t>GY57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</si>
  <si>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</si>
  <si>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L57</t>
  </si>
  <si>
    <t>П57</t>
  </si>
  <si>
    <t>R57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</si>
  <si>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57</t>
    </r>
  </si>
  <si>
    <t>C57</t>
  </si>
  <si>
    <t>P57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</si>
  <si>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57</t>
    </r>
  </si>
  <si>
    <t>T57</t>
  </si>
  <si>
    <t xml:space="preserve">Переможець 57</t>
  </si>
  <si>
    <t xml:space="preserve">۵۷ جیت</t>
  </si>
  <si>
    <t>W58</t>
  </si>
  <si>
    <t>F58</t>
  </si>
  <si>
    <t>Q58</t>
  </si>
  <si>
    <t>G58</t>
  </si>
  <si>
    <r>
      <rPr>
        <color indexed="64"/>
        <rFont val="Calibri"/>
        <sz val="11"/>
      </rPr>
      <t>58</t>
    </r>
    <r>
      <rPr>
        <color indexed="64"/>
        <rFont val="Droid Sans Fallback"/>
        <sz val="11"/>
      </rPr>
      <t>胜者</t>
    </r>
  </si>
  <si>
    <t>V58</t>
  </si>
  <si>
    <t>მ58</t>
  </si>
  <si>
    <t>Ν58</t>
  </si>
  <si>
    <t>GY58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</si>
  <si>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</si>
  <si>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L58</t>
  </si>
  <si>
    <t>П58</t>
  </si>
  <si>
    <t>R58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</si>
  <si>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58</t>
    </r>
  </si>
  <si>
    <t>C58</t>
  </si>
  <si>
    <t>P58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</si>
  <si>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58</t>
    </r>
  </si>
  <si>
    <t>T58</t>
  </si>
  <si>
    <t xml:space="preserve">Переможець 58</t>
  </si>
  <si>
    <t xml:space="preserve">۵۸ جیت</t>
  </si>
  <si>
    <t>W59</t>
  </si>
  <si>
    <t>F59</t>
  </si>
  <si>
    <t>Q59</t>
  </si>
  <si>
    <t>G59</t>
  </si>
  <si>
    <r>
      <rPr>
        <color indexed="64"/>
        <rFont val="Calibri"/>
        <sz val="11"/>
      </rPr>
      <t>59</t>
    </r>
    <r>
      <rPr>
        <color indexed="64"/>
        <rFont val="Droid Sans Fallback"/>
        <sz val="11"/>
      </rPr>
      <t>胜者</t>
    </r>
  </si>
  <si>
    <t>V59</t>
  </si>
  <si>
    <t>მ59</t>
  </si>
  <si>
    <t>Ν59</t>
  </si>
  <si>
    <t>GY59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</si>
  <si>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3 </t>
    </r>
    <r>
      <rPr>
        <color indexed="64"/>
        <rFont val="Droid Sans Fallback"/>
        <sz val="11"/>
      </rPr>
      <t>승자</t>
    </r>
  </si>
  <si>
    <t>L59</t>
  </si>
  <si>
    <t>П59</t>
  </si>
  <si>
    <t>R59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</si>
  <si>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59</t>
    </r>
  </si>
  <si>
    <t>C59</t>
  </si>
  <si>
    <t>P59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</si>
  <si>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59</t>
    </r>
  </si>
  <si>
    <t>T59</t>
  </si>
  <si>
    <t xml:space="preserve">Переможець 59</t>
  </si>
  <si>
    <t xml:space="preserve">۵۹ جیت</t>
  </si>
  <si>
    <t>W60</t>
  </si>
  <si>
    <t>F60</t>
  </si>
  <si>
    <t>Q60</t>
  </si>
  <si>
    <t>G60</t>
  </si>
  <si>
    <r>
      <rPr>
        <color indexed="64"/>
        <rFont val="Calibri"/>
        <sz val="11"/>
      </rPr>
      <t>60</t>
    </r>
    <r>
      <rPr>
        <color indexed="64"/>
        <rFont val="Droid Sans Fallback"/>
        <sz val="11"/>
      </rPr>
      <t>胜者</t>
    </r>
  </si>
  <si>
    <t>V60</t>
  </si>
  <si>
    <t>მ60</t>
  </si>
  <si>
    <t>Ν60</t>
  </si>
  <si>
    <t>GY60</t>
  </si>
  <si>
    <r>
      <rPr>
        <color indexed="64"/>
        <rFont val="Calibri"/>
        <sz val="11"/>
      </rPr>
      <t>8</t>
    </r>
    <r>
      <rPr>
        <color indexed="64"/>
        <rFont val="Droid Sans Fallback"/>
        <sz val="11"/>
      </rPr>
      <t xml:space="preserve">강전 경기</t>
    </r>
    <r>
      <rPr>
        <color indexed="64"/>
        <rFont val="Calibri"/>
        <sz val="11"/>
      </rPr>
      <t xml:space="preserve">4 </t>
    </r>
    <r>
      <rPr>
        <color indexed="64"/>
        <rFont val="Droid Sans Fallback"/>
        <sz val="11"/>
      </rPr>
      <t>승자</t>
    </r>
  </si>
  <si>
    <t>L60</t>
  </si>
  <si>
    <t>П60</t>
  </si>
  <si>
    <t>R60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</si>
  <si>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60</t>
    </r>
  </si>
  <si>
    <t>C60</t>
  </si>
  <si>
    <t>P60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</si>
  <si>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60</t>
    </r>
  </si>
  <si>
    <t>T60</t>
  </si>
  <si>
    <t xml:space="preserve">Переможець 60</t>
  </si>
  <si>
    <t xml:space="preserve">۶۰ جیت</t>
  </si>
  <si>
    <t>W61</t>
  </si>
  <si>
    <t>F61</t>
  </si>
  <si>
    <t>Q61</t>
  </si>
  <si>
    <t>G61</t>
  </si>
  <si>
    <r>
      <rPr>
        <color indexed="64"/>
        <rFont val="Calibri"/>
        <sz val="11"/>
      </rPr>
      <t>61</t>
    </r>
    <r>
      <rPr>
        <color indexed="64"/>
        <rFont val="Droid Sans Fallback"/>
        <sz val="11"/>
      </rPr>
      <t>胜者</t>
    </r>
  </si>
  <si>
    <t>V61</t>
  </si>
  <si>
    <t>მ61</t>
  </si>
  <si>
    <t>Ν61</t>
  </si>
  <si>
    <t>GY61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</si>
  <si>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승자</t>
    </r>
  </si>
  <si>
    <t>L61</t>
  </si>
  <si>
    <t>П61</t>
  </si>
  <si>
    <t>R61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</si>
  <si>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61</t>
    </r>
  </si>
  <si>
    <t>C61</t>
  </si>
  <si>
    <t>P61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</si>
  <si>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61</t>
    </r>
  </si>
  <si>
    <t>T61</t>
  </si>
  <si>
    <t xml:space="preserve">Переможець 61</t>
  </si>
  <si>
    <t xml:space="preserve">۶۱ جیت</t>
  </si>
  <si>
    <t>W62</t>
  </si>
  <si>
    <t>F62</t>
  </si>
  <si>
    <t>Q62</t>
  </si>
  <si>
    <t>G62</t>
  </si>
  <si>
    <r>
      <rPr>
        <color indexed="64"/>
        <rFont val="Calibri"/>
        <sz val="11"/>
      </rPr>
      <t>62</t>
    </r>
    <r>
      <rPr>
        <color indexed="64"/>
        <rFont val="Droid Sans Fallback"/>
        <sz val="11"/>
      </rPr>
      <t>胜者</t>
    </r>
  </si>
  <si>
    <t>V62</t>
  </si>
  <si>
    <t>მ62</t>
  </si>
  <si>
    <t>Ν62</t>
  </si>
  <si>
    <t>GY62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</si>
  <si>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승자</t>
    </r>
  </si>
  <si>
    <t>L62</t>
  </si>
  <si>
    <t>П62</t>
  </si>
  <si>
    <t>R62</t>
  </si>
  <si>
    <r>
      <rPr>
        <color indexed="64"/>
        <rFont val="Noto Sans Devanagari"/>
        <sz val="11"/>
      </rPr>
      <t xml:space="preserve">برنده بازی </t>
    </r>
    <r>
      <rPr>
        <color indexed="64"/>
        <rFont val="Calibri"/>
        <sz val="11"/>
      </rPr>
      <t>62</t>
    </r>
  </si>
  <si>
    <t>C62</t>
  </si>
  <si>
    <t>P62</t>
  </si>
  <si>
    <r>
      <rPr>
        <color indexed="64"/>
        <rFont val="Noto Sans Devanagari"/>
        <sz val="11"/>
      </rPr>
      <t xml:space="preserve">ผู้ชนะนัดที่ </t>
    </r>
    <r>
      <rPr>
        <color indexed="64"/>
        <rFont val="Calibri"/>
        <sz val="11"/>
      </rPr>
      <t>62</t>
    </r>
  </si>
  <si>
    <t>T62</t>
  </si>
  <si>
    <t xml:space="preserve">Переможець 62</t>
  </si>
  <si>
    <t xml:space="preserve">۶۲ جیت</t>
  </si>
  <si>
    <t>H61</t>
  </si>
  <si>
    <t>M61</t>
  </si>
  <si>
    <r>
      <rPr>
        <color indexed="64"/>
        <rFont val="Calibri"/>
        <sz val="11"/>
      </rPr>
      <t>61</t>
    </r>
    <r>
      <rPr>
        <color indexed="64"/>
        <rFont val="Droid Sans Fallback"/>
        <sz val="11"/>
      </rPr>
      <t>负者</t>
    </r>
  </si>
  <si>
    <t>წ61</t>
  </si>
  <si>
    <t>Η61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</si>
  <si>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1 </t>
    </r>
    <r>
      <rPr>
        <color indexed="64"/>
        <rFont val="Droid Sans Fallback"/>
        <sz val="11"/>
      </rPr>
      <t>패자</t>
    </r>
  </si>
  <si>
    <t>И61</t>
  </si>
  <si>
    <r>
      <rPr>
        <color indexed="64"/>
        <rFont val="Noto Sans Devanagari"/>
        <sz val="11"/>
      </rPr>
      <t xml:space="preserve">بازنده بازی </t>
    </r>
    <r>
      <rPr>
        <color indexed="64"/>
        <rFont val="Calibri"/>
        <sz val="11"/>
      </rPr>
      <t>61</t>
    </r>
  </si>
  <si>
    <t>I61</t>
  </si>
  <si>
    <r>
      <rPr>
        <color indexed="64"/>
        <rFont val="Noto Sans Devanagari"/>
        <sz val="11"/>
      </rPr>
      <t xml:space="preserve">ผู้แพ้นัดที่ </t>
    </r>
    <r>
      <rPr>
        <color indexed="64"/>
        <rFont val="Calibri"/>
        <sz val="11"/>
      </rPr>
      <t>61</t>
    </r>
  </si>
  <si>
    <t>B61</t>
  </si>
  <si>
    <t xml:space="preserve">Переможений 61</t>
  </si>
  <si>
    <t xml:space="preserve">۶۱ ہار</t>
  </si>
  <si>
    <t>H62</t>
  </si>
  <si>
    <t>M62</t>
  </si>
  <si>
    <r>
      <rPr>
        <color indexed="64"/>
        <rFont val="Calibri"/>
        <sz val="11"/>
      </rPr>
      <t>62</t>
    </r>
    <r>
      <rPr>
        <color indexed="64"/>
        <rFont val="Droid Sans Fallback"/>
        <sz val="11"/>
      </rPr>
      <t>负者</t>
    </r>
  </si>
  <si>
    <t>წ62</t>
  </si>
  <si>
    <t>Η62</t>
  </si>
  <si>
    <r>
      <rPr>
        <color indexed="64"/>
        <rFont val="Droid Sans Fallback"/>
        <sz val="11"/>
      </rPr>
      <t xml:space="preserve">준결승 경기</t>
    </r>
    <r>
      <rPr>
        <color indexed="64"/>
        <rFont val="Calibri"/>
        <sz val="11"/>
      </rPr>
      <t xml:space="preserve">2 </t>
    </r>
    <r>
      <rPr>
        <color indexed="64"/>
        <rFont val="Droid Sans Fallback"/>
        <sz val="11"/>
      </rPr>
      <t>패자</t>
    </r>
  </si>
  <si>
    <t>И62</t>
  </si>
  <si>
    <r>
      <rPr>
        <color indexed="64"/>
        <rFont val="Noto Sans Devanagari"/>
        <sz val="11"/>
      </rPr>
      <t xml:space="preserve">بازنده بازی </t>
    </r>
    <r>
      <rPr>
        <color indexed="64"/>
        <rFont val="Calibri"/>
        <sz val="11"/>
      </rPr>
      <t>62</t>
    </r>
  </si>
  <si>
    <t>I62</t>
  </si>
  <si>
    <r>
      <rPr>
        <color indexed="64"/>
        <rFont val="Noto Sans Devanagari"/>
        <sz val="11"/>
      </rPr>
      <t xml:space="preserve">ผู้แพ้นัดที่ </t>
    </r>
    <r>
      <rPr>
        <color indexed="64"/>
        <rFont val="Calibri"/>
        <sz val="11"/>
      </rPr>
      <t>62</t>
    </r>
  </si>
  <si>
    <t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</si>
  <si>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</si>
  <si>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</si>
  <si>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</si>
  <si>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</si>
  <si>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color indexed="64"/>
        <rFont val="Noto Sans Devanagari"/>
        <sz val="11"/>
      </rPr>
      <t xml:space="preserve">بطل العالم </t>
    </r>
    <r>
      <rPr>
        <color indexed="64"/>
        <rFont val="Calibri"/>
        <sz val="11"/>
      </rPr>
      <t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</si>
  <si>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</si>
  <si>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</si>
  <si>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</si>
  <si>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</si>
  <si>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</si>
  <si>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</si>
  <si>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</si>
  <si>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</si>
  <si>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</si>
  <si>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</si>
  <si>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</si>
  <si>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</si>
  <si>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</si>
  <si>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color indexed="64"/>
        <rFont val="Noto Sans Devanagari"/>
        <sz val="11"/>
      </rPr>
      <t xml:space="preserve">גביע העולם </t>
    </r>
    <r>
      <rPr>
        <color indexed="64"/>
        <rFont val="Calibri"/>
        <sz val="11"/>
      </rPr>
      <t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</si>
  <si>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</si>
  <si>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</si>
  <si>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</si>
  <si>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</si>
  <si>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color indexed="64"/>
        <rFont val="Calibri"/>
        <sz val="11"/>
      </rPr>
      <t>2018</t>
    </r>
    <r>
      <rPr>
        <color indexed="64"/>
        <rFont val="Droid Sans Fallback"/>
        <sz val="1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</si>
  <si>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</si>
  <si>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</si>
  <si>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</si>
  <si>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</si>
  <si>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color indexed="64"/>
        <rFont val="Noto Sans Devanagari"/>
        <sz val="11"/>
      </rPr>
      <t xml:space="preserve">قهرمان جام جهانی </t>
    </r>
    <r>
      <rPr>
        <color indexed="64"/>
        <rFont val="Calibri"/>
        <sz val="11"/>
      </rPr>
      <t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</si>
  <si>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</si>
  <si>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</si>
  <si>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</si>
  <si>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</si>
  <si>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</si>
  <si>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</si>
  <si>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</si>
  <si>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</si>
  <si>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</si>
  <si>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color indexed="64"/>
        <rFont val="Noto Sans Devanagari"/>
        <sz val="11"/>
      </rPr>
      <t xml:space="preserve">แชมป์โลกปี </t>
    </r>
    <r>
      <rPr>
        <color indexed="64"/>
        <rFont val="Calibri"/>
        <sz val="11"/>
      </rPr>
      <t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</si>
  <si>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</si>
  <si>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</si>
  <si>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</si>
  <si>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</si>
  <si>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</si>
  <si>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</si>
  <si>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</si>
  <si>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</si>
  <si>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</si>
  <si>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</si>
  <si>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</si>
  <si>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</si>
  <si>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</si>
  <si>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</si>
  <si>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</si>
  <si>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</si>
  <si>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</si>
  <si>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</si>
  <si>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</si>
  <si>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</si>
  <si>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</si>
  <si>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</si>
  <si>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</si>
  <si>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</si>
  <si>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</si>
  <si>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</si>
  <si>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</si>
  <si>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</si>
  <si>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</si>
  <si>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</si>
  <si>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</si>
  <si>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</si>
  <si>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</si>
  <si>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</si>
  <si>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</si>
  <si>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</si>
  <si>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</si>
  <si>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</si>
  <si>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</si>
  <si>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</si>
  <si>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</si>
  <si>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</si>
  <si>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</si>
  <si>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</si>
  <si>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</si>
  <si>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</si>
  <si>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</si>
  <si>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</si>
  <si>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 xml:space="preserve">Group Round Sorting</t>
  </si>
  <si>
    <t>Language</t>
  </si>
  <si>
    <t xml:space="preserve">Step #1</t>
  </si>
  <si>
    <t>Points</t>
  </si>
  <si>
    <t xml:space="preserve">Summer Time</t>
  </si>
  <si>
    <t>No</t>
  </si>
  <si>
    <t xml:space="preserve">Step #2</t>
  </si>
  <si>
    <t xml:space="preserve">Goal Difference</t>
  </si>
  <si>
    <t xml:space="preserve">Step #3</t>
  </si>
  <si>
    <t xml:space="preserve">Goals Scored</t>
  </si>
  <si>
    <t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</si>
  <si>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</si>
  <si>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</si>
  <si>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</si>
  <si>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</si>
  <si>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</si>
  <si>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</si>
  <si>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</si>
  <si>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</si>
  <si>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</si>
  <si>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</si>
  <si>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</si>
  <si>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</si>
  <si>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</si>
  <si>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</si>
  <si>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</si>
  <si>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</si>
  <si>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</si>
  <si>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</si>
  <si>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</si>
  <si>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</si>
  <si>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</si>
  <si>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</si>
  <si>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</si>
  <si>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</si>
  <si>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</si>
  <si>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</si>
  <si>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</si>
  <si>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</si>
  <si>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</si>
  <si>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</si>
  <si>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</si>
  <si>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</si>
  <si>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</si>
  <si>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</si>
  <si>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</si>
  <si>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</si>
  <si>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>itype</t>
  </si>
  <si>
    <t xml:space="preserve">Language: Spanish</t>
  </si>
  <si>
    <t xml:space="preserve">Home Page: www.excely.com</t>
  </si>
  <si>
    <t xml:space="preserve"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</si>
  <si>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</si>
  <si>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</si>
  <si>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</si>
  <si>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</si>
  <si>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</si>
  <si>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</si>
  <si>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</si>
  <si>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</si>
  <si>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 xml:space="preserve">Jun 14, 2018</t>
  </si>
  <si>
    <t>Rusia_win</t>
  </si>
  <si>
    <t xml:space="preserve">Arabia Saudita_lose</t>
  </si>
  <si>
    <t xml:space="preserve">Jun 15, 2018</t>
  </si>
  <si>
    <t xml:space="preserve">Grupo A</t>
  </si>
  <si>
    <t>Egipto_lose</t>
  </si>
  <si>
    <t>Uruguay_win</t>
  </si>
  <si>
    <t xml:space="preserve">5 - 0</t>
  </si>
  <si>
    <t>Portugal_draw</t>
  </si>
  <si>
    <t>España_draw</t>
  </si>
  <si>
    <t xml:space="preserve">Jun 30, 2018   14:00</t>
  </si>
  <si>
    <t xml:space="preserve">8 - 4</t>
  </si>
  <si>
    <t>Marruecos_lose</t>
  </si>
  <si>
    <t>Irán_win</t>
  </si>
  <si>
    <t xml:space="preserve">Jun 16, 2018</t>
  </si>
  <si>
    <t xml:space="preserve">2 - 7</t>
  </si>
  <si>
    <t>Francia_win</t>
  </si>
  <si>
    <t>Australia_lose</t>
  </si>
  <si>
    <t xml:space="preserve">Jul 6, 2018   10:00</t>
  </si>
  <si>
    <t xml:space="preserve">2 - 6</t>
  </si>
  <si>
    <t>Perú_lose</t>
  </si>
  <si>
    <t>Dinamarca_win</t>
  </si>
  <si>
    <t>Argentina_draw</t>
  </si>
  <si>
    <t>Islandia_draw</t>
  </si>
  <si>
    <t xml:space="preserve">Jun 30, 2018   10:00</t>
  </si>
  <si>
    <t xml:space="preserve">Grupo B</t>
  </si>
  <si>
    <t>Croacia_win</t>
  </si>
  <si>
    <t>Nigeria_lose</t>
  </si>
  <si>
    <t xml:space="preserve">Jun 17, 2018</t>
  </si>
  <si>
    <t xml:space="preserve">6 - 5</t>
  </si>
  <si>
    <t>Brasil_draw</t>
  </si>
  <si>
    <t>Suiza_draw</t>
  </si>
  <si>
    <t xml:space="preserve">Jul 10, 2018   14:00</t>
  </si>
  <si>
    <t xml:space="preserve">5 - 4</t>
  </si>
  <si>
    <t xml:space="preserve">Costa Rica_lose</t>
  </si>
  <si>
    <t>Serbia_win</t>
  </si>
  <si>
    <t xml:space="preserve">2 - 2</t>
  </si>
  <si>
    <t>Alemania_lose</t>
  </si>
  <si>
    <t>México_win</t>
  </si>
  <si>
    <t xml:space="preserve">Jul 2, 2018   10:00</t>
  </si>
  <si>
    <t xml:space="preserve">Jun 18, 2018</t>
  </si>
  <si>
    <t xml:space="preserve">2 - 4</t>
  </si>
  <si>
    <t>Suecia_win</t>
  </si>
  <si>
    <t xml:space="preserve">República de Corea_lose</t>
  </si>
  <si>
    <t>Bélgica_win</t>
  </si>
  <si>
    <t>Panamá_lose</t>
  </si>
  <si>
    <t xml:space="preserve">Jul 6, 2018   14:00</t>
  </si>
  <si>
    <t xml:space="preserve">Grupo C</t>
  </si>
  <si>
    <t>Túnez_lose</t>
  </si>
  <si>
    <t>Inglaterra_win</t>
  </si>
  <si>
    <t xml:space="preserve">Jun 19, 2018</t>
  </si>
  <si>
    <t xml:space="preserve">3 - 1</t>
  </si>
  <si>
    <t>Polonia_lose</t>
  </si>
  <si>
    <t>Senegal_win</t>
  </si>
  <si>
    <t xml:space="preserve">Jul 2, 2018   14:00</t>
  </si>
  <si>
    <t xml:space="preserve">2 - 1</t>
  </si>
  <si>
    <t>Colombia_lose</t>
  </si>
  <si>
    <t>Japón_win</t>
  </si>
  <si>
    <t xml:space="preserve">Jul 15, 2018   11:00</t>
  </si>
  <si>
    <t xml:space="preserve">Jun 20, 2018</t>
  </si>
  <si>
    <t xml:space="preserve">2 - 5</t>
  </si>
  <si>
    <t>Portugal_win</t>
  </si>
  <si>
    <t xml:space="preserve">Jul 1, 2018   10:00</t>
  </si>
  <si>
    <t xml:space="preserve">Grupo D</t>
  </si>
  <si>
    <t>Irán_lose</t>
  </si>
  <si>
    <t>España_win</t>
  </si>
  <si>
    <t xml:space="preserve">Jun 21, 2018</t>
  </si>
  <si>
    <t xml:space="preserve">6 - 1</t>
  </si>
  <si>
    <t xml:space="preserve">Jul 7, 2018   10:00</t>
  </si>
  <si>
    <t xml:space="preserve">3 - 5</t>
  </si>
  <si>
    <t>Dinamarca_draw</t>
  </si>
  <si>
    <t>Australia_draw</t>
  </si>
  <si>
    <t xml:space="preserve">3 - 4</t>
  </si>
  <si>
    <t>Argentina_lose</t>
  </si>
  <si>
    <t xml:space="preserve">Jul 1, 2018   14:00</t>
  </si>
  <si>
    <t xml:space="preserve">Jun 22, 2018</t>
  </si>
  <si>
    <t>Nigeria_win</t>
  </si>
  <si>
    <t>Islandia_lose</t>
  </si>
  <si>
    <t>Brasil_win</t>
  </si>
  <si>
    <t xml:space="preserve">Jul 11, 2018   14:00</t>
  </si>
  <si>
    <t xml:space="preserve">Grupo E</t>
  </si>
  <si>
    <t>Serbia_lose</t>
  </si>
  <si>
    <t>Suiza_win</t>
  </si>
  <si>
    <t xml:space="preserve">Jun 23, 2018</t>
  </si>
  <si>
    <t xml:space="preserve">5 - 1</t>
  </si>
  <si>
    <t>Alemania_win</t>
  </si>
  <si>
    <t>Suecia_lose</t>
  </si>
  <si>
    <t xml:space="preserve">Jul 3, 2018   10:00</t>
  </si>
  <si>
    <t xml:space="preserve">4 - 3</t>
  </si>
  <si>
    <t xml:space="preserve">Jul 14, 2018   10:00</t>
  </si>
  <si>
    <t xml:space="preserve">Jul 7, 2018   14:00</t>
  </si>
  <si>
    <t xml:space="preserve">Jun 24, 2018</t>
  </si>
  <si>
    <t xml:space="preserve">1 - 4</t>
  </si>
  <si>
    <t>Colombia_win</t>
  </si>
  <si>
    <t xml:space="preserve">Jul 3, 2018   14:00</t>
  </si>
  <si>
    <t xml:space="preserve">Grupo F</t>
  </si>
  <si>
    <t>Japón_draw</t>
  </si>
  <si>
    <t>Senegal_draw</t>
  </si>
  <si>
    <t xml:space="preserve">Jun 25, 2018</t>
  </si>
  <si>
    <t xml:space="preserve">5 - 2</t>
  </si>
  <si>
    <t>Rusia_lose</t>
  </si>
  <si>
    <t xml:space="preserve">Arabia Saudita_win</t>
  </si>
  <si>
    <t xml:space="preserve">3 - 3</t>
  </si>
  <si>
    <t>Irán_draw</t>
  </si>
  <si>
    <t>Marruecos_draw</t>
  </si>
  <si>
    <t xml:space="preserve">Jun 26, 2018</t>
  </si>
  <si>
    <t>Francia_draw</t>
  </si>
  <si>
    <t xml:space="preserve">Grupo G</t>
  </si>
  <si>
    <t>Perú_win</t>
  </si>
  <si>
    <t xml:space="preserve">9 - 2</t>
  </si>
  <si>
    <t>Argentina_win</t>
  </si>
  <si>
    <t xml:space="preserve">8 - 3</t>
  </si>
  <si>
    <t>Croacia_draw</t>
  </si>
  <si>
    <t xml:space="preserve">FIFA World Cup
Historical Data
1930 - 2014</t>
  </si>
  <si>
    <t xml:space="preserve">Jun 27, 2018</t>
  </si>
  <si>
    <t xml:space="preserve">5 - 8</t>
  </si>
  <si>
    <t xml:space="preserve">2 - 11</t>
  </si>
  <si>
    <t xml:space="preserve">Costa Rica_draw</t>
  </si>
  <si>
    <t xml:space="preserve">República de Corea_win</t>
  </si>
  <si>
    <t xml:space="preserve">Grupo H</t>
  </si>
  <si>
    <t>México_lose</t>
  </si>
  <si>
    <t xml:space="preserve">Jun 28, 2018</t>
  </si>
  <si>
    <t>Inglaterra_lose</t>
  </si>
  <si>
    <t>Túnez_win</t>
  </si>
  <si>
    <t xml:space="preserve">4 - 4</t>
  </si>
  <si>
    <t>Polonia_draw</t>
  </si>
  <si>
    <t>Senegal_lose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</si>
</sst>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&quot;&quot;;&quot;&quot;;&quot;&quot;;&quot;&quot;"/>
    <numFmt numFmtId="161" formatCode="H:MM;@"/>
  </numFmts>
  <fonts count="21">
    <font>
      <name val="Calibri"/>
      <color indexed="64"/>
      <sz val="11"/>
      <scheme val="minor"/>
    </font>
    <font>
      <name val="Arial"/>
      <sz val="10"/>
    </font>
    <font>
      <name val="Calibri"/>
      <color rgb="FF0563C1"/>
      <sz val="11"/>
      <u val="single"/>
    </font>
    <font>
      <name val="Noto Sans Devanagari"/>
      <color indexed="64"/>
      <sz val="11"/>
    </font>
    <font>
      <name val="Droid Sans Fallback"/>
      <color indexed="64"/>
      <sz val="11"/>
    </font>
    <font>
      <name val="Calibri"/>
      <sz val="10"/>
    </font>
    <font>
      <name val="Calibri"/>
      <b/>
      <sz val="12"/>
    </font>
    <font>
      <name val="Calibri"/>
      <sz val="8"/>
    </font>
    <font>
      <name val="Calibri"/>
      <color indexed="65"/>
      <sz val="11"/>
    </font>
    <font>
      <name val="Calibri"/>
      <color indexed="4"/>
      <sz val="10"/>
    </font>
    <font>
      <name val="Calibri"/>
      <color indexed="65"/>
      <sz val="10"/>
    </font>
    <font>
      <name val="Calibri"/>
      <sz val="36"/>
    </font>
    <font>
      <name val="Calibri"/>
      <color indexed="4"/>
      <sz val="8"/>
      <u val="single"/>
    </font>
    <font>
      <name val="Calibri"/>
      <color indexed="65"/>
      <sz val="16"/>
    </font>
    <font>
      <name val="Calibri"/>
      <color indexed="4"/>
      <sz val="14"/>
    </font>
    <font>
      <name val="Calibri"/>
      <b/>
      <color indexed="65"/>
      <sz val="10"/>
    </font>
    <font>
      <name val="Calibri"/>
      <sz val="16"/>
    </font>
    <font>
      <name val="Calibri"/>
      <sz val="10"/>
      <u val="single"/>
    </font>
    <font>
      <name val="Calibri"/>
      <b/>
      <sz val="16"/>
    </font>
    <font>
      <name val="Calibri"/>
      <b/>
      <color indexed="4"/>
      <sz val="16"/>
    </font>
    <font>
      <name val="Calibri"/>
      <color indexed="64"/>
      <sz val="16"/>
    </font>
  </fonts>
  <fills count="9">
    <fill>
      <patternFill patternType="none"/>
    </fill>
    <fill>
      <patternFill patternType="none"/>
    </fill>
    <fill>
      <patternFill patternType="solid">
        <fgColor indexed="26"/>
        <bgColor indexed="26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64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indexed="65"/>
        <bgColor indexed="65"/>
      </patternFill>
    </fill>
    <fill>
      <patternFill patternType="solid">
        <fgColor rgb="FFD6DCE5"/>
        <bgColor rgb="FFD6DCE5"/>
      </patternFill>
    </fill>
  </fills>
  <borders count="6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indexed="48"/>
      </left>
      <right/>
      <top style="thin">
        <color rgb="FF8497B0"/>
      </top>
      <bottom style="hair">
        <color indexed="48"/>
      </bottom>
      <diagonal/>
    </border>
    <border>
      <left/>
      <right/>
      <top style="thin">
        <color rgb="FF8497B0"/>
      </top>
      <bottom style="hair">
        <color indexed="48"/>
      </bottom>
      <diagonal/>
    </border>
    <border>
      <left/>
      <right style="hair">
        <color indexed="48"/>
      </right>
      <top style="thin">
        <color rgb="FF8497B0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rgb="FF8497B0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rgb="FF8497B0"/>
      </top>
      <bottom style="hair">
        <color indexed="48"/>
      </bottom>
      <diagonal/>
    </border>
    <border>
      <left/>
      <right style="thin">
        <color rgb="FF8497B0"/>
      </right>
      <top/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rgb="FF8497B0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"/>
      </right>
      <top style="thin">
        <color indexed="48"/>
      </top>
      <bottom style="hair">
        <color indexed="4"/>
      </bottom>
      <diagonal/>
    </border>
    <border>
      <left style="hair">
        <color indexed="4"/>
      </left>
      <right style="hair">
        <color indexed="4"/>
      </right>
      <top style="thin">
        <color indexed="48"/>
      </top>
      <bottom style="hair">
        <color indexed="4"/>
      </bottom>
      <diagonal/>
    </border>
    <border>
      <left style="hair">
        <color indexed="4"/>
      </left>
      <right style="thin">
        <color indexed="48"/>
      </right>
      <top style="thin">
        <color indexed="48"/>
      </top>
      <bottom style="hair">
        <color indexed="4"/>
      </bottom>
      <diagonal/>
    </border>
    <border>
      <left/>
      <right/>
      <top/>
      <bottom style="thin">
        <color indexed="48"/>
      </bottom>
      <diagonal/>
    </border>
    <border>
      <left style="thin">
        <color indexed="48"/>
      </left>
      <right style="hair">
        <color indexed="4"/>
      </right>
      <top style="hair">
        <color indexed="4"/>
      </top>
      <bottom style="hair">
        <color indexed="4"/>
      </bottom>
      <diagonal/>
    </border>
    <border>
      <left style="hair">
        <color indexed="4"/>
      </left>
      <right style="hair">
        <color indexed="4"/>
      </right>
      <top style="hair">
        <color indexed="4"/>
      </top>
      <bottom style="hair">
        <color indexed="4"/>
      </bottom>
      <diagonal/>
    </border>
    <border>
      <left style="hair">
        <color indexed="4"/>
      </left>
      <right style="thin">
        <color indexed="48"/>
      </right>
      <top style="hair">
        <color indexed="4"/>
      </top>
      <bottom style="hair">
        <color indexed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indexed="48"/>
      </left>
      <right style="hair">
        <color indexed="4"/>
      </right>
      <top style="hair">
        <color indexed="4"/>
      </top>
      <bottom style="thin">
        <color indexed="48"/>
      </bottom>
      <diagonal/>
    </border>
    <border>
      <left style="hair">
        <color indexed="4"/>
      </left>
      <right style="hair">
        <color indexed="4"/>
      </right>
      <top style="hair">
        <color indexed="4"/>
      </top>
      <bottom style="thin">
        <color indexed="48"/>
      </bottom>
      <diagonal/>
    </border>
    <border>
      <left style="hair">
        <color indexed="4"/>
      </left>
      <right style="thin">
        <color indexed="48"/>
      </right>
      <top style="hair">
        <color indexed="4"/>
      </top>
      <bottom style="thin">
        <color indexed="48"/>
      </bottom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/>
      <bottom/>
      <diagonal/>
    </border>
    <border>
      <left/>
      <right/>
      <top style="medium">
        <color indexed="4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rgb="FF8497B0"/>
      </right>
      <top style="hair">
        <color indexed="48"/>
      </top>
      <bottom style="thin">
        <color indexed="48"/>
      </bottom>
      <diagonal/>
    </border>
  </borders>
  <cellStyleXfs count="8">
    <xf fontId="0" fillId="0" borderId="0" numFmtId="0"/>
    <xf fontId="1" fillId="0" borderId="0" numFmtId="43" applyNumberFormat="1" applyFont="1"/>
    <xf fontId="1" fillId="0" borderId="0" numFmtId="41" applyNumberFormat="1" applyFont="1"/>
    <xf fontId="1" fillId="0" borderId="0" numFmtId="44" applyNumberFormat="1" applyFont="1"/>
    <xf fontId="1" fillId="0" borderId="0" numFmtId="42" applyNumberFormat="1" applyFont="1"/>
    <xf fontId="1" fillId="0" borderId="0" numFmtId="9" applyNumberFormat="1" applyFont="1"/>
    <xf fontId="0" fillId="2" borderId="1" numFmtId="0" applyFill="1" applyBorder="1"/>
    <xf fontId="2" fillId="0" borderId="0" numFmtId="0" applyFont="1"/>
  </cellStyleXfs>
  <cellXfs count="109">
    <xf fontId="0" fillId="0" borderId="0" numFmtId="0" xfId="0"/>
    <xf fontId="3" fillId="0" borderId="0" numFmtId="0" xfId="0" applyFont="1"/>
    <xf fontId="4" fillId="0" borderId="0" numFmtId="0" xfId="0" applyFont="1"/>
    <xf fontId="5" fillId="0" borderId="0" numFmtId="0" xfId="0" applyFont="1"/>
    <xf fontId="6" fillId="3" borderId="2" numFmtId="0" xfId="0" applyFont="1" applyFill="1" applyBorder="1" applyAlignment="1">
      <alignment horizontal="left" indent="15"/>
    </xf>
    <xf fontId="5" fillId="3" borderId="3" numFmtId="0" xfId="0" applyFont="1" applyFill="1" applyBorder="1" applyAlignment="1">
      <alignment horizontal="left"/>
    </xf>
    <xf fontId="5" fillId="3" borderId="4" numFmtId="0" xfId="0" applyFont="1" applyFill="1" applyBorder="1"/>
    <xf fontId="5" fillId="3" borderId="5" numFmtId="0" xfId="0" applyFont="1" applyFill="1" applyBorder="1"/>
    <xf fontId="5" fillId="3" borderId="0" numFmtId="0" xfId="0" applyFont="1" applyFill="1" applyAlignment="1">
      <alignment horizontal="left"/>
    </xf>
    <xf fontId="5" fillId="3" borderId="6" numFmtId="0" xfId="0" applyFont="1" applyFill="1" applyBorder="1"/>
    <xf fontId="5" fillId="3" borderId="5" numFmtId="0" xfId="0" applyFont="1" applyFill="1" applyBorder="1" applyAlignment="1">
      <alignment horizontal="right" vertical="center"/>
    </xf>
    <xf fontId="5" fillId="2" borderId="1" numFmtId="0" xfId="6" applyFont="1" applyFill="1" applyBorder="1" applyAlignment="1">
      <alignment horizontal="left" indent="15" vertical="center"/>
    </xf>
    <xf fontId="5" fillId="3" borderId="0" numFmtId="0" xfId="0" applyFont="1" applyFill="1"/>
    <xf fontId="5" fillId="3" borderId="5" numFmtId="0" xfId="0" applyFont="1" applyFill="1" applyBorder="1" applyAlignment="1">
      <alignment horizontal="right"/>
    </xf>
    <xf fontId="5" fillId="4" borderId="7" numFmtId="0" xfId="0" applyFont="1" applyFill="1" applyBorder="1"/>
    <xf fontId="5" fillId="4" borderId="8" numFmtId="0" xfId="0" applyFont="1" applyFill="1" applyBorder="1"/>
    <xf fontId="5" fillId="4" borderId="9" numFmtId="0" xfId="0" applyFont="1" applyFill="1" applyBorder="1"/>
    <xf fontId="5" fillId="3" borderId="10" numFmtId="0" xfId="0" applyFont="1" applyFill="1" applyBorder="1"/>
    <xf fontId="5" fillId="3" borderId="11" numFmtId="0" xfId="0" applyFont="1" applyFill="1" applyBorder="1"/>
    <xf fontId="5" fillId="3" borderId="12" numFmtId="0" xfId="0" applyFont="1" applyFill="1" applyBorder="1" applyAlignment="1">
      <alignment horizontal="left"/>
    </xf>
    <xf fontId="5" fillId="3" borderId="13" numFmtId="0" xfId="0" applyFont="1" applyFill="1" applyBorder="1"/>
    <xf fontId="7" fillId="3" borderId="14" numFmtId="0" xfId="0" applyFont="1" applyFill="1" applyBorder="1" applyAlignment="1">
      <alignment horizontal="left" vertical="center"/>
    </xf>
    <xf fontId="7" fillId="3" borderId="10" numFmtId="0" xfId="0" applyFont="1" applyFill="1" applyBorder="1" applyAlignment="1">
      <alignment horizontal="left" vertical="center"/>
    </xf>
    <xf fontId="5" fillId="3" borderId="15" numFmtId="0" xfId="0" applyFont="1" applyFill="1" applyBorder="1"/>
    <xf fontId="8" fillId="0" borderId="0" numFmtId="160" xfId="0" applyNumberFormat="1" applyFont="1"/>
    <xf fontId="6" fillId="3" borderId="16" numFmtId="0" xfId="0" applyFont="1" applyFill="1" applyBorder="1" applyAlignment="1">
      <alignment horizontal="center"/>
    </xf>
    <xf fontId="5" fillId="3" borderId="5" numFmtId="0" xfId="0" applyFont="1" applyFill="1" applyBorder="1" applyAlignment="1">
      <alignment horizontal="left" indent="15"/>
    </xf>
    <xf fontId="5" fillId="4" borderId="17" numFmtId="0" xfId="0" applyFont="1" applyFill="1" applyBorder="1" applyAlignment="1">
      <alignment horizontal="center"/>
    </xf>
    <xf fontId="5" fillId="4" borderId="8" numFmtId="0" xfId="0" applyFont="1" applyFill="1" applyBorder="1" applyAlignment="1">
      <alignment horizontal="center"/>
    </xf>
    <xf fontId="5" fillId="4" borderId="9" numFmtId="0" xfId="0" applyFont="1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0" numFmtId="161" xfId="0" applyNumberFormat="1" applyAlignment="1">
      <alignment horizontal="center" vertical="center"/>
    </xf>
    <xf fontId="0" fillId="0" borderId="0" numFmtId="0" xfId="0" applyAlignment="1">
      <alignment horizontal="right" vertical="center"/>
    </xf>
    <xf fontId="9" fillId="0" borderId="0" numFmtId="0" xfId="0" applyFont="1" applyAlignment="1">
      <alignment horizontal="center" vertical="center"/>
    </xf>
    <xf fontId="0" fillId="0" borderId="0" numFmtId="0" xfId="0" applyAlignment="1">
      <alignment horizontal="left" vertical="center"/>
    </xf>
    <xf fontId="0" fillId="0" borderId="0" numFmtId="0" xfId="0" applyAlignment="1">
      <alignment vertical="center"/>
    </xf>
    <xf fontId="0" fillId="0" borderId="0" numFmtId="0" xfId="0" applyAlignment="1">
      <alignment shrinkToFit="1" vertical="center"/>
    </xf>
    <xf fontId="0" fillId="0" borderId="0" numFmtId="0" xfId="0" applyAlignment="1">
      <alignment horizontal="center" shrinkToFit="1" vertical="center"/>
    </xf>
    <xf fontId="5" fillId="0" borderId="0" numFmtId="0" xfId="0" applyFont="1" applyAlignment="1">
      <alignment vertical="center"/>
    </xf>
    <xf fontId="10" fillId="0" borderId="0" numFmtId="160" xfId="0" applyNumberFormat="1" applyFont="1" applyAlignment="1">
      <alignment horizontal="center" vertical="center"/>
    </xf>
    <xf fontId="10" fillId="0" borderId="0" numFmtId="160" xfId="0" applyNumberFormat="1" applyFont="1" applyAlignment="1">
      <alignment horizontal="left" vertical="center"/>
    </xf>
    <xf fontId="10" fillId="0" borderId="0" numFmtId="160" xfId="0" applyNumberFormat="1" applyFont="1" applyAlignment="1">
      <alignment vertical="center"/>
    </xf>
    <xf fontId="8" fillId="0" borderId="0" numFmtId="160" xfId="0" applyNumberFormat="1" applyFont="1" applyAlignment="1">
      <alignment vertical="center"/>
    </xf>
    <xf fontId="11" fillId="0" borderId="0" numFmtId="0" xfId="0" applyFont="1" applyAlignment="1">
      <alignment horizontal="center" shrinkToFit="1" vertical="center"/>
    </xf>
    <xf fontId="12" fillId="0" borderId="0" numFmtId="0" xfId="7" applyFont="1" applyAlignment="1">
      <alignment horizontal="right"/>
    </xf>
    <xf fontId="13" fillId="5" borderId="18" numFmtId="0" xfId="0" applyFont="1" applyFill="1" applyBorder="1" applyAlignment="1">
      <alignment horizontal="center" vertical="center"/>
    </xf>
    <xf fontId="14" fillId="6" borderId="18" numFmtId="0" xfId="7" applyFont="1" applyFill="1" applyBorder="1" applyAlignment="1">
      <alignment horizontal="center" vertical="center"/>
    </xf>
    <xf fontId="13" fillId="5" borderId="19" numFmtId="0" xfId="0" applyFont="1" applyFill="1" applyBorder="1" applyAlignment="1">
      <alignment horizontal="center" vertical="center"/>
    </xf>
    <xf fontId="0" fillId="7" borderId="20" numFmtId="0" xfId="0" applyFill="1" applyBorder="1" applyAlignment="1">
      <alignment horizontal="center" shrinkToFit="1" vertical="center"/>
    </xf>
    <xf fontId="5" fillId="7" borderId="21" numFmtId="0" xfId="0" applyFont="1" applyFill="1" applyBorder="1" applyAlignment="1">
      <alignment horizontal="center" shrinkToFit="1" vertical="center"/>
    </xf>
    <xf fontId="0" fillId="7" borderId="21" numFmtId="0" xfId="0" applyFill="1" applyBorder="1" applyAlignment="1">
      <alignment horizontal="center" shrinkToFit="1" vertical="center"/>
    </xf>
    <xf fontId="0" fillId="7" borderId="22" numFmtId="161" xfId="0" applyNumberFormat="1" applyFill="1" applyBorder="1" applyAlignment="1">
      <alignment horizontal="center" shrinkToFit="1" vertical="center"/>
    </xf>
    <xf fontId="0" fillId="7" borderId="23" numFmtId="0" xfId="0" applyFill="1" applyBorder="1" applyAlignment="1">
      <alignment horizontal="right" indent="15" shrinkToFit="1" vertical="center"/>
    </xf>
    <xf fontId="5" fillId="2" borderId="24" numFmtId="0" xfId="0" applyFont="1" applyFill="1" applyBorder="1" applyAlignment="1">
      <alignment horizontal="center" vertical="center"/>
    </xf>
    <xf fontId="5" fillId="2" borderId="23" numFmtId="0" xfId="0" applyFont="1" applyFill="1" applyBorder="1" applyAlignment="1">
      <alignment horizontal="center" vertical="center"/>
    </xf>
    <xf fontId="0" fillId="7" borderId="25" numFmtId="0" xfId="0" applyFill="1" applyBorder="1" applyAlignment="1">
      <alignment horizontal="left" indent="15" shrinkToFit="1" vertical="center"/>
    </xf>
    <xf fontId="0" fillId="7" borderId="26" numFmtId="0" xfId="0" applyFill="1" applyBorder="1" applyAlignment="1">
      <alignment horizontal="center" shrinkToFit="1" vertical="center"/>
    </xf>
    <xf fontId="5" fillId="7" borderId="27" numFmtId="0" xfId="0" applyFont="1" applyFill="1" applyBorder="1" applyAlignment="1">
      <alignment horizontal="center" shrinkToFit="1" vertical="center"/>
    </xf>
    <xf fontId="0" fillId="7" borderId="27" numFmtId="0" xfId="0" applyFill="1" applyBorder="1" applyAlignment="1">
      <alignment horizontal="center" shrinkToFit="1" vertical="center"/>
    </xf>
    <xf fontId="0" fillId="7" borderId="28" numFmtId="161" xfId="0" applyNumberFormat="1" applyFill="1" applyBorder="1" applyAlignment="1">
      <alignment horizontal="center" shrinkToFit="1" vertical="center"/>
    </xf>
    <xf fontId="0" fillId="7" borderId="29" numFmtId="0" xfId="0" applyFill="1" applyBorder="1" applyAlignment="1">
      <alignment horizontal="right" indent="15" shrinkToFit="1" vertical="center"/>
    </xf>
    <xf fontId="5" fillId="2" borderId="30" numFmtId="0" xfId="0" applyFont="1" applyFill="1" applyBorder="1" applyAlignment="1">
      <alignment horizontal="center" vertical="center"/>
    </xf>
    <xf fontId="5" fillId="2" borderId="29" numFmtId="0" xfId="0" applyFont="1" applyFill="1" applyBorder="1" applyAlignment="1">
      <alignment horizontal="center" vertical="center"/>
    </xf>
    <xf fontId="0" fillId="7" borderId="31" numFmtId="0" xfId="0" applyFill="1" applyBorder="1" applyAlignment="1">
      <alignment horizontal="left" indent="15" shrinkToFit="1" vertical="center"/>
    </xf>
    <xf fontId="15" fillId="5" borderId="32" numFmtId="0" xfId="0" applyFont="1" applyFill="1" applyBorder="1" applyAlignment="1">
      <alignment horizontal="center" shrinkToFit="1" vertical="center"/>
    </xf>
    <xf fontId="15" fillId="5" borderId="33" numFmtId="0" xfId="0" applyFont="1" applyFill="1" applyBorder="1" applyAlignment="1">
      <alignment horizontal="center" shrinkToFit="1" vertical="center"/>
    </xf>
    <xf fontId="15" fillId="5" borderId="34" numFmtId="0" xfId="0" applyFont="1" applyFill="1" applyBorder="1" applyAlignment="1">
      <alignment horizontal="center" shrinkToFit="1" vertical="center"/>
    </xf>
    <xf fontId="0" fillId="7" borderId="0" numFmtId="0" xfId="0" applyFill="1" applyAlignment="1">
      <alignment vertical="center"/>
    </xf>
    <xf fontId="0" fillId="0" borderId="35" numFmtId="0" xfId="0" applyBorder="1" applyAlignment="1">
      <alignment shrinkToFit="1" vertical="center"/>
    </xf>
    <xf fontId="0" fillId="0" borderId="36" numFmtId="0" xfId="0" applyBorder="1" applyAlignment="1">
      <alignment horizontal="center" shrinkToFit="1" vertical="center"/>
    </xf>
    <xf fontId="0" fillId="0" borderId="37" numFmtId="0" xfId="0" applyBorder="1" applyAlignment="1">
      <alignment horizontal="center" shrinkToFit="1" vertical="center"/>
    </xf>
    <xf fontId="5" fillId="7" borderId="38" numFmtId="0" xfId="0" applyFont="1" applyFill="1" applyBorder="1" applyAlignment="1">
      <alignment horizontal="right" vertical="center"/>
    </xf>
    <xf fontId="0" fillId="0" borderId="39" numFmtId="0" xfId="0" applyBorder="1" applyAlignment="1">
      <alignment shrinkToFit="1" vertical="center"/>
    </xf>
    <xf fontId="0" fillId="0" borderId="40" numFmtId="0" xfId="0" applyBorder="1" applyAlignment="1">
      <alignment horizontal="center" shrinkToFit="1" vertical="center"/>
    </xf>
    <xf fontId="0" fillId="0" borderId="41" numFmtId="0" xfId="0" applyBorder="1" applyAlignment="1">
      <alignment horizontal="center" shrinkToFit="1" vertical="center"/>
    </xf>
    <xf fontId="0" fillId="7" borderId="42" numFmtId="0" xfId="0" applyFill="1" applyBorder="1" applyAlignment="1">
      <alignment horizontal="center" vertical="center"/>
    </xf>
    <xf fontId="0" fillId="7" borderId="43" numFmtId="0" xfId="0" applyFill="1" applyBorder="1" applyAlignment="1">
      <alignment horizontal="left" shrinkToFit="1" vertical="center"/>
    </xf>
    <xf fontId="5" fillId="2" borderId="44" numFmtId="0" xfId="0" applyFont="1" applyFill="1" applyBorder="1" applyAlignment="1">
      <alignment horizontal="center" vertical="center"/>
    </xf>
    <xf fontId="5" fillId="2" borderId="45" numFmtId="0" xfId="0" applyFont="1" applyFill="1" applyBorder="1" applyAlignment="1">
      <alignment horizontal="center" vertical="center"/>
    </xf>
    <xf fontId="0" fillId="7" borderId="46" numFmtId="0" xfId="0" applyFill="1" applyBorder="1" applyAlignment="1">
      <alignment horizontal="left" shrinkToFit="1" vertical="center"/>
    </xf>
    <xf fontId="5" fillId="2" borderId="47" numFmtId="0" xfId="0" applyFont="1" applyFill="1" applyBorder="1" applyAlignment="1">
      <alignment horizontal="center" vertical="center"/>
    </xf>
    <xf fontId="5" fillId="2" borderId="48" numFmtId="0" xfId="0" applyFont="1" applyFill="1" applyBorder="1" applyAlignment="1">
      <alignment horizontal="center" vertical="center"/>
    </xf>
    <xf fontId="0" fillId="7" borderId="49" numFmtId="0" xfId="0" applyFill="1" applyBorder="1" applyAlignment="1">
      <alignment vertical="center"/>
    </xf>
    <xf fontId="5" fillId="7" borderId="0" numFmtId="0" xfId="0" applyFont="1" applyFill="1" applyAlignment="1">
      <alignment horizontal="right" vertical="center"/>
    </xf>
    <xf fontId="0" fillId="0" borderId="50" numFmtId="0" xfId="0" applyBorder="1" applyAlignment="1">
      <alignment shrinkToFit="1" vertical="center"/>
    </xf>
    <xf fontId="0" fillId="0" borderId="51" numFmtId="0" xfId="0" applyBorder="1" applyAlignment="1">
      <alignment horizontal="center" shrinkToFit="1" vertical="center"/>
    </xf>
    <xf fontId="0" fillId="0" borderId="52" numFmtId="0" xfId="0" applyBorder="1" applyAlignment="1">
      <alignment horizontal="center" shrinkToFit="1" vertical="center"/>
    </xf>
    <xf fontId="0" fillId="7" borderId="53" numFmtId="0" xfId="0" applyFill="1" applyBorder="1" applyAlignment="1">
      <alignment vertical="center"/>
    </xf>
    <xf fontId="0" fillId="7" borderId="54" numFmtId="0" xfId="0" applyFill="1" applyBorder="1" applyAlignment="1">
      <alignment vertical="center"/>
    </xf>
    <xf fontId="0" fillId="7" borderId="55" numFmtId="0" xfId="0" applyFill="1" applyBorder="1" applyAlignment="1">
      <alignment vertical="center"/>
    </xf>
    <xf fontId="0" fillId="7" borderId="56" numFmtId="0" xfId="0" applyFill="1" applyBorder="1" applyAlignment="1">
      <alignment vertical="center"/>
    </xf>
    <xf fontId="0" fillId="7" borderId="0" numFmtId="0" xfId="0" applyFill="1" applyAlignment="1">
      <alignment horizontal="right" vertical="center"/>
    </xf>
    <xf fontId="16" fillId="8" borderId="19" numFmtId="0" xfId="0" applyFont="1" applyFill="1" applyBorder="1" applyAlignment="1">
      <alignment horizontal="center" vertical="center"/>
    </xf>
    <xf fontId="17" fillId="2" borderId="29" numFmtId="0" xfId="0" applyFont="1" applyFill="1" applyBorder="1" applyAlignment="1">
      <alignment horizontal="center" vertical="center"/>
    </xf>
    <xf fontId="18" fillId="0" borderId="57" numFmtId="0" xfId="0" applyFont="1" applyBorder="1" applyAlignment="1">
      <alignment horizontal="center" shrinkToFit="1" vertical="center"/>
    </xf>
    <xf fontId="19" fillId="0" borderId="57" numFmtId="0" xfId="0" applyFont="1" applyBorder="1" applyAlignment="1">
      <alignment horizontal="center" shrinkToFit="1" vertical="center"/>
    </xf>
    <xf fontId="20" fillId="0" borderId="0" numFmtId="0" xfId="0" applyFont="1" applyAlignment="1">
      <alignment vertical="center"/>
    </xf>
    <xf fontId="20" fillId="6" borderId="19" numFmtId="0" xfId="0" applyFont="1" applyFill="1" applyBorder="1" applyAlignment="1">
      <alignment horizontal="center" vertical="center" wrapText="1"/>
    </xf>
    <xf fontId="0" fillId="7" borderId="46" numFmtId="0" xfId="0" applyFill="1" applyBorder="1" applyAlignment="1">
      <alignment horizontal="center" shrinkToFit="1" vertical="center"/>
    </xf>
    <xf fontId="5" fillId="7" borderId="58" numFmtId="0" xfId="0" applyFont="1" applyFill="1" applyBorder="1" applyAlignment="1">
      <alignment horizontal="center" shrinkToFit="1" vertical="center"/>
    </xf>
    <xf fontId="0" fillId="7" borderId="58" numFmtId="0" xfId="0" applyFill="1" applyBorder="1" applyAlignment="1">
      <alignment horizontal="center" shrinkToFit="1" vertical="center"/>
    </xf>
    <xf fontId="0" fillId="7" borderId="59" numFmtId="161" xfId="0" applyNumberFormat="1" applyFill="1" applyBorder="1" applyAlignment="1">
      <alignment horizontal="center" shrinkToFit="1" vertical="center"/>
    </xf>
    <xf fontId="0" fillId="7" borderId="48" numFmtId="0" xfId="0" applyFill="1" applyBorder="1" applyAlignment="1">
      <alignment horizontal="right" indent="15" shrinkToFit="1" vertical="center"/>
    </xf>
    <xf fontId="0" fillId="7" borderId="60" numFmtId="0" xfId="0" applyFill="1" applyBorder="1" applyAlignment="1">
      <alignment horizontal="left" indent="15" shrinkToFit="1" vertical="center"/>
    </xf>
    <xf fontId="5" fillId="0" borderId="0" numFmtId="0" xfId="0" applyFont="1" applyAlignment="1">
      <alignment horizontal="center" shrinkToFit="1" vertical="center"/>
    </xf>
    <xf fontId="0" fillId="0" borderId="0" numFmtId="161" xfId="0" applyNumberFormat="1" applyAlignment="1">
      <alignment horizontal="center" shrinkToFit="1" vertical="center"/>
    </xf>
    <xf fontId="0" fillId="0" borderId="0" numFmtId="0" xfId="0" applyAlignment="1">
      <alignment horizontal="right" indent="15" shrinkToFit="1" vertical="center"/>
    </xf>
    <xf fontId="5" fillId="0" borderId="0" numFmtId="0" xfId="0" applyFont="1" applyAlignment="1">
      <alignment horizontal="center" vertical="center"/>
    </xf>
    <xf fontId="0" fillId="0" borderId="0" numFmtId="0" xfId="0" applyAlignment="1">
      <alignment horizontal="left" indent="15" shrinkToFit="1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 builtinId="53"/>
    <cellStyle name="*unknown*" xfId="7" builtinId="8"/>
  </cellStyles>
  <dxfs count="100">
    <dxf>
      <font>
        <name val="Calibri"/>
        <color indexed="64"/>
      </font>
      <fill>
        <patternFill patternType="solid">
          <fgColor rgb="FFFFE699"/>
          <bgColor rgb="FFFFE699"/>
        </patternFill>
      </fill>
    </dxf>
    <dxf>
      <font>
        <name val="Calibri"/>
        <color indexed="64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</dxf>
    <dxf>
      <font>
        <name val="Calibri"/>
        <b/>
        <i val="0"/>
        <color indexed="2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2"/>
      </font>
    </dxf>
    <dxf>
      <font>
        <name val="Calibri"/>
        <b/>
        <i val="0"/>
        <color indexed="4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4"/>
      </font>
    </dxf>
    <dxf>
      <font>
        <name val="Calibri"/>
        <b val="0"/>
        <i/>
        <color indexed="21"/>
      </font>
      <fill>
        <patternFill patternType="solid">
          <fgColor rgb="FFFFE699"/>
          <bgColor rgb="FFFFE699"/>
        </patternFill>
      </fill>
    </dxf>
    <dxf>
      <font>
        <name val="Calibri"/>
        <b val="0"/>
        <i/>
        <color indexed="21"/>
      </font>
    </dxf>
    <dxf>
      <font>
        <name val="Calibri"/>
        <b/>
        <i val="0"/>
        <color indexed="4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4"/>
      </font>
    </dxf>
    <dxf>
      <font>
        <name val="Calibri"/>
        <b/>
        <i val="0"/>
        <color indexed="2"/>
      </font>
      <fill>
        <patternFill patternType="solid">
          <fgColor rgb="FFFFE699"/>
          <bgColor rgb="FFFFE699"/>
        </patternFill>
      </fill>
    </dxf>
    <dxf>
      <font>
        <name val="Calibri"/>
        <b/>
        <i val="0"/>
        <color indexed="2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color indexed="2"/>
      </font>
    </dxf>
    <dxf>
      <font>
        <name val="Calibri"/>
        <b/>
        <i val="0"/>
        <color indexed="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  <dxf>
      <font>
        <name val="Calibri"/>
        <b val="0"/>
        <i val="0"/>
        <color indexed="65"/>
      </font>
      <fill>
        <patternFill patternType="solid">
          <fgColor indexed="43"/>
          <bgColor indexed="43"/>
        </patternFill>
      </fill>
    </dxf>
    <dxf>
      <font>
        <name val="Calibri"/>
        <color indexed="65"/>
      </font>
      <fill>
        <patternFill patternType="solid">
          <fgColor indexed="43"/>
          <bgColor indexed="43"/>
        </patternFill>
      </fill>
    </dxf>
    <dxf>
      <font>
        <name val="Calibri"/>
        <b val="0"/>
        <i val="0"/>
        <color indexed="65"/>
      </font>
      <fill>
        <patternFill patternType="solid">
          <fgColor rgb="FFDEEBF7"/>
          <bgColor rgb="FFDEEBF7"/>
        </patternFill>
      </fill>
    </dxf>
    <dxf>
      <font>
        <name val="Calibri"/>
        <b/>
        <i val="0"/>
        <color indexed="65"/>
      </font>
      <fill>
        <patternFill patternType="solid">
          <fgColor rgb="FFDEEBF7"/>
          <bgColor rgb="FFDEEBF7"/>
        </patternFill>
      </fill>
    </dxf>
    <dxf>
      <font>
        <name val="Calibri"/>
        <b/>
        <i val="0"/>
        <color indexed="64"/>
      </font>
    </dxf>
    <dxf>
      <font>
        <name val="Calibri"/>
        <b/>
        <i val="0"/>
        <color indexed="64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4</xdr:col>
      <xdr:colOff>1261799</xdr:colOff>
      <xdr:row>6</xdr:row>
      <xdr:rowOff>22679</xdr:rowOff>
    </xdr:from>
    <xdr:to>
      <xdr:col>4</xdr:col>
      <xdr:colOff>1483197</xdr:colOff>
      <xdr:row>6</xdr:row>
      <xdr:rowOff>166679</xdr:rowOff>
    </xdr:to>
    <xdr:pic>
      <xdr:nvPicPr>
        <xdr:cNvPr id="4" name="Picture 2" descr="" hidden="0"/>
        <xdr:cNvPicPr/>
      </xdr:nvPicPr>
      <xdr:blipFill>
        <a:blip r:embed="rId1"/>
        <a:stretch/>
      </xdr:blipFill>
      <xdr:spPr bwMode="auto">
        <a:xfrm>
          <a:off x="3262049" y="1213304"/>
          <a:ext cx="221400" cy="1439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22</xdr:row>
      <xdr:rowOff>18717</xdr:rowOff>
    </xdr:from>
    <xdr:to>
      <xdr:col>4</xdr:col>
      <xdr:colOff>1483197</xdr:colOff>
      <xdr:row>22</xdr:row>
      <xdr:rowOff>162719</xdr:rowOff>
    </xdr:to>
    <xdr:pic>
      <xdr:nvPicPr>
        <xdr:cNvPr id="5" name="Picture 5" descr="" hidden="0"/>
        <xdr:cNvPicPr/>
      </xdr:nvPicPr>
      <xdr:blipFill>
        <a:blip r:embed="rId2"/>
        <a:stretch/>
      </xdr:blipFill>
      <xdr:spPr bwMode="auto">
        <a:xfrm>
          <a:off x="3262049" y="4257344"/>
          <a:ext cx="221400" cy="14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38</xdr:row>
      <xdr:rowOff>18717</xdr:rowOff>
    </xdr:from>
    <xdr:to>
      <xdr:col>7</xdr:col>
      <xdr:colOff>244799</xdr:colOff>
      <xdr:row>38</xdr:row>
      <xdr:rowOff>162719</xdr:rowOff>
    </xdr:to>
    <xdr:pic>
      <xdr:nvPicPr>
        <xdr:cNvPr id="6" name="Picture 6" descr="" hidden="0"/>
        <xdr:cNvPicPr/>
      </xdr:nvPicPr>
      <xdr:blipFill>
        <a:blip r:embed="rId3"/>
        <a:stretch/>
      </xdr:blipFill>
      <xdr:spPr bwMode="auto">
        <a:xfrm>
          <a:off x="5109749" y="7305344"/>
          <a:ext cx="221399" cy="14399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6</xdr:row>
      <xdr:rowOff>22679</xdr:rowOff>
    </xdr:from>
    <xdr:to>
      <xdr:col>7</xdr:col>
      <xdr:colOff>241915</xdr:colOff>
      <xdr:row>6</xdr:row>
      <xdr:rowOff>168119</xdr:rowOff>
    </xdr:to>
    <xdr:pic>
      <xdr:nvPicPr>
        <xdr:cNvPr id="7" name="Picture 4" descr="" hidden="0"/>
        <xdr:cNvPicPr/>
      </xdr:nvPicPr>
      <xdr:blipFill>
        <a:blip r:embed="rId4"/>
        <a:stretch/>
      </xdr:blipFill>
      <xdr:spPr bwMode="auto">
        <a:xfrm>
          <a:off x="5109749" y="1213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23</xdr:row>
      <xdr:rowOff>22679</xdr:rowOff>
    </xdr:from>
    <xdr:to>
      <xdr:col>7</xdr:col>
      <xdr:colOff>241915</xdr:colOff>
      <xdr:row>23</xdr:row>
      <xdr:rowOff>168119</xdr:rowOff>
    </xdr:to>
    <xdr:pic>
      <xdr:nvPicPr>
        <xdr:cNvPr id="8" name="Picture 9" descr="" hidden="0"/>
        <xdr:cNvPicPr/>
      </xdr:nvPicPr>
      <xdr:blipFill>
        <a:blip r:embed="rId5"/>
        <a:stretch/>
      </xdr:blipFill>
      <xdr:spPr bwMode="auto">
        <a:xfrm>
          <a:off x="5109749" y="4451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39</xdr:row>
      <xdr:rowOff>23399</xdr:rowOff>
    </xdr:from>
    <xdr:to>
      <xdr:col>4</xdr:col>
      <xdr:colOff>1480319</xdr:colOff>
      <xdr:row>39</xdr:row>
      <xdr:rowOff>168839</xdr:rowOff>
    </xdr:to>
    <xdr:pic>
      <xdr:nvPicPr>
        <xdr:cNvPr id="9" name="Picture 10" descr="" hidden="0"/>
        <xdr:cNvPicPr/>
      </xdr:nvPicPr>
      <xdr:blipFill>
        <a:blip r:embed="rId6"/>
        <a:stretch/>
      </xdr:blipFill>
      <xdr:spPr bwMode="auto">
        <a:xfrm>
          <a:off x="3262049" y="7500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7</xdr:row>
      <xdr:rowOff>22679</xdr:rowOff>
    </xdr:from>
    <xdr:to>
      <xdr:col>4</xdr:col>
      <xdr:colOff>1480319</xdr:colOff>
      <xdr:row>7</xdr:row>
      <xdr:rowOff>168119</xdr:rowOff>
    </xdr:to>
    <xdr:pic>
      <xdr:nvPicPr>
        <xdr:cNvPr id="10" name="Picture 8" descr="" hidden="0"/>
        <xdr:cNvPicPr/>
      </xdr:nvPicPr>
      <xdr:blipFill>
        <a:blip r:embed="rId7"/>
        <a:stretch/>
      </xdr:blipFill>
      <xdr:spPr bwMode="auto">
        <a:xfrm>
          <a:off x="3262049" y="1403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28079</xdr:colOff>
      <xdr:row>22</xdr:row>
      <xdr:rowOff>23399</xdr:rowOff>
    </xdr:from>
    <xdr:to>
      <xdr:col>7</xdr:col>
      <xdr:colOff>246599</xdr:colOff>
      <xdr:row>22</xdr:row>
      <xdr:rowOff>168839</xdr:rowOff>
    </xdr:to>
    <xdr:pic>
      <xdr:nvPicPr>
        <xdr:cNvPr id="11" name="Picture 13" descr="" hidden="0"/>
        <xdr:cNvPicPr/>
      </xdr:nvPicPr>
      <xdr:blipFill>
        <a:blip r:embed="rId8"/>
        <a:stretch/>
      </xdr:blipFill>
      <xdr:spPr bwMode="auto">
        <a:xfrm>
          <a:off x="5114429" y="4262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39</xdr:row>
      <xdr:rowOff>23399</xdr:rowOff>
    </xdr:from>
    <xdr:to>
      <xdr:col>7</xdr:col>
      <xdr:colOff>241915</xdr:colOff>
      <xdr:row>39</xdr:row>
      <xdr:rowOff>168839</xdr:rowOff>
    </xdr:to>
    <xdr:pic>
      <xdr:nvPicPr>
        <xdr:cNvPr id="12" name="Picture 14" descr="" hidden="0"/>
        <xdr:cNvPicPr/>
      </xdr:nvPicPr>
      <xdr:blipFill>
        <a:blip r:embed="rId9"/>
        <a:stretch/>
      </xdr:blipFill>
      <xdr:spPr bwMode="auto">
        <a:xfrm>
          <a:off x="5109749" y="7500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7</xdr:row>
      <xdr:rowOff>31679</xdr:rowOff>
    </xdr:from>
    <xdr:to>
      <xdr:col>7</xdr:col>
      <xdr:colOff>237239</xdr:colOff>
      <xdr:row>7</xdr:row>
      <xdr:rowOff>177119</xdr:rowOff>
    </xdr:to>
    <xdr:pic>
      <xdr:nvPicPr>
        <xdr:cNvPr id="13" name="Picture 12" descr="" hidden="0"/>
        <xdr:cNvPicPr/>
      </xdr:nvPicPr>
      <xdr:blipFill>
        <a:blip r:embed="rId10"/>
        <a:stretch/>
      </xdr:blipFill>
      <xdr:spPr bwMode="auto">
        <a:xfrm>
          <a:off x="5105069" y="1412804"/>
          <a:ext cx="21851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23</xdr:row>
      <xdr:rowOff>36359</xdr:rowOff>
    </xdr:from>
    <xdr:to>
      <xdr:col>4</xdr:col>
      <xdr:colOff>1480319</xdr:colOff>
      <xdr:row>23</xdr:row>
      <xdr:rowOff>181799</xdr:rowOff>
    </xdr:to>
    <xdr:pic>
      <xdr:nvPicPr>
        <xdr:cNvPr id="14" name="Picture 17" descr="" hidden="0"/>
        <xdr:cNvPicPr/>
      </xdr:nvPicPr>
      <xdr:blipFill>
        <a:blip r:embed="rId11"/>
        <a:stretch/>
      </xdr:blipFill>
      <xdr:spPr bwMode="auto">
        <a:xfrm>
          <a:off x="3262049" y="44654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38</xdr:row>
      <xdr:rowOff>28079</xdr:rowOff>
    </xdr:from>
    <xdr:to>
      <xdr:col>4</xdr:col>
      <xdr:colOff>1480319</xdr:colOff>
      <xdr:row>38</xdr:row>
      <xdr:rowOff>173519</xdr:rowOff>
    </xdr:to>
    <xdr:pic>
      <xdr:nvPicPr>
        <xdr:cNvPr id="15" name="Picture 18" descr="" hidden="0"/>
        <xdr:cNvPicPr/>
      </xdr:nvPicPr>
      <xdr:blipFill>
        <a:blip r:embed="rId12"/>
        <a:stretch/>
      </xdr:blipFill>
      <xdr:spPr bwMode="auto">
        <a:xfrm>
          <a:off x="3262049" y="7314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8</xdr:row>
      <xdr:rowOff>23399</xdr:rowOff>
    </xdr:from>
    <xdr:to>
      <xdr:col>4</xdr:col>
      <xdr:colOff>1480319</xdr:colOff>
      <xdr:row>8</xdr:row>
      <xdr:rowOff>168839</xdr:rowOff>
    </xdr:to>
    <xdr:pic>
      <xdr:nvPicPr>
        <xdr:cNvPr id="16" name="Picture 16" descr="" hidden="0"/>
        <xdr:cNvPicPr/>
      </xdr:nvPicPr>
      <xdr:blipFill>
        <a:blip r:embed="rId13"/>
        <a:stretch/>
      </xdr:blipFill>
      <xdr:spPr bwMode="auto">
        <a:xfrm>
          <a:off x="3262049" y="1595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24</xdr:row>
      <xdr:rowOff>22679</xdr:rowOff>
    </xdr:from>
    <xdr:to>
      <xdr:col>4</xdr:col>
      <xdr:colOff>1480319</xdr:colOff>
      <xdr:row>24</xdr:row>
      <xdr:rowOff>168119</xdr:rowOff>
    </xdr:to>
    <xdr:pic>
      <xdr:nvPicPr>
        <xdr:cNvPr id="17" name="Picture 21" descr="" hidden="0"/>
        <xdr:cNvPicPr/>
      </xdr:nvPicPr>
      <xdr:blipFill>
        <a:blip r:embed="rId14"/>
        <a:stretch/>
      </xdr:blipFill>
      <xdr:spPr bwMode="auto">
        <a:xfrm>
          <a:off x="3262049" y="4642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40</xdr:row>
      <xdr:rowOff>23399</xdr:rowOff>
    </xdr:from>
    <xdr:to>
      <xdr:col>7</xdr:col>
      <xdr:colOff>241915</xdr:colOff>
      <xdr:row>40</xdr:row>
      <xdr:rowOff>168839</xdr:rowOff>
    </xdr:to>
    <xdr:pic>
      <xdr:nvPicPr>
        <xdr:cNvPr id="18" name="Picture 22" descr="" hidden="0"/>
        <xdr:cNvPicPr/>
      </xdr:nvPicPr>
      <xdr:blipFill>
        <a:blip r:embed="rId15"/>
        <a:stretch/>
      </xdr:blipFill>
      <xdr:spPr bwMode="auto">
        <a:xfrm>
          <a:off x="5109749" y="7691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8</xdr:row>
      <xdr:rowOff>23399</xdr:rowOff>
    </xdr:from>
    <xdr:to>
      <xdr:col>7</xdr:col>
      <xdr:colOff>237239</xdr:colOff>
      <xdr:row>8</xdr:row>
      <xdr:rowOff>168839</xdr:rowOff>
    </xdr:to>
    <xdr:pic>
      <xdr:nvPicPr>
        <xdr:cNvPr id="19" name="Picture 20" descr="" hidden="0"/>
        <xdr:cNvPicPr/>
      </xdr:nvPicPr>
      <xdr:blipFill>
        <a:blip r:embed="rId16"/>
        <a:stretch/>
      </xdr:blipFill>
      <xdr:spPr bwMode="auto">
        <a:xfrm>
          <a:off x="5105069" y="15950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25</xdr:row>
      <xdr:rowOff>27359</xdr:rowOff>
    </xdr:from>
    <xdr:to>
      <xdr:col>7</xdr:col>
      <xdr:colOff>241915</xdr:colOff>
      <xdr:row>25</xdr:row>
      <xdr:rowOff>172799</xdr:rowOff>
    </xdr:to>
    <xdr:pic>
      <xdr:nvPicPr>
        <xdr:cNvPr id="20" name="Picture 25" descr="" hidden="0"/>
        <xdr:cNvPicPr/>
      </xdr:nvPicPr>
      <xdr:blipFill>
        <a:blip r:embed="rId17"/>
        <a:stretch/>
      </xdr:blipFill>
      <xdr:spPr bwMode="auto">
        <a:xfrm>
          <a:off x="5109749" y="48374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1257118</xdr:colOff>
      <xdr:row>41</xdr:row>
      <xdr:rowOff>22679</xdr:rowOff>
    </xdr:from>
    <xdr:to>
      <xdr:col>4</xdr:col>
      <xdr:colOff>1475639</xdr:colOff>
      <xdr:row>41</xdr:row>
      <xdr:rowOff>168119</xdr:rowOff>
    </xdr:to>
    <xdr:pic>
      <xdr:nvPicPr>
        <xdr:cNvPr id="21" name="Picture 26" descr="" hidden="0"/>
        <xdr:cNvPicPr/>
      </xdr:nvPicPr>
      <xdr:blipFill>
        <a:blip r:embed="rId18"/>
        <a:stretch/>
      </xdr:blipFill>
      <xdr:spPr bwMode="auto">
        <a:xfrm>
          <a:off x="3257369" y="7880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41</xdr:row>
      <xdr:rowOff>27359</xdr:rowOff>
    </xdr:from>
    <xdr:to>
      <xdr:col>7</xdr:col>
      <xdr:colOff>237239</xdr:colOff>
      <xdr:row>41</xdr:row>
      <xdr:rowOff>172799</xdr:rowOff>
    </xdr:to>
    <xdr:pic>
      <xdr:nvPicPr>
        <xdr:cNvPr id="22" name="Picture 24" descr="" hidden="0"/>
        <xdr:cNvPicPr/>
      </xdr:nvPicPr>
      <xdr:blipFill>
        <a:blip r:embed="rId19"/>
        <a:stretch/>
      </xdr:blipFill>
      <xdr:spPr bwMode="auto">
        <a:xfrm>
          <a:off x="5105069" y="788548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24</xdr:row>
      <xdr:rowOff>22679</xdr:rowOff>
    </xdr:from>
    <xdr:to>
      <xdr:col>7</xdr:col>
      <xdr:colOff>241915</xdr:colOff>
      <xdr:row>24</xdr:row>
      <xdr:rowOff>168119</xdr:rowOff>
    </xdr:to>
    <xdr:pic>
      <xdr:nvPicPr>
        <xdr:cNvPr id="23" name="Picture 29" descr="" hidden="0"/>
        <xdr:cNvPicPr/>
      </xdr:nvPicPr>
      <xdr:blipFill>
        <a:blip r:embed="rId20"/>
        <a:stretch/>
      </xdr:blipFill>
      <xdr:spPr bwMode="auto">
        <a:xfrm>
          <a:off x="5109749" y="4642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9</xdr:row>
      <xdr:rowOff>18717</xdr:rowOff>
    </xdr:from>
    <xdr:to>
      <xdr:col>4</xdr:col>
      <xdr:colOff>1480319</xdr:colOff>
      <xdr:row>9</xdr:row>
      <xdr:rowOff>164159</xdr:rowOff>
    </xdr:to>
    <xdr:pic>
      <xdr:nvPicPr>
        <xdr:cNvPr id="24" name="Picture 30" descr="" hidden="0"/>
        <xdr:cNvPicPr/>
      </xdr:nvPicPr>
      <xdr:blipFill>
        <a:blip r:embed="rId21"/>
        <a:stretch/>
      </xdr:blipFill>
      <xdr:spPr bwMode="auto">
        <a:xfrm>
          <a:off x="3262049" y="17808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9</xdr:row>
      <xdr:rowOff>23399</xdr:rowOff>
    </xdr:from>
    <xdr:to>
      <xdr:col>7</xdr:col>
      <xdr:colOff>237239</xdr:colOff>
      <xdr:row>9</xdr:row>
      <xdr:rowOff>168839</xdr:rowOff>
    </xdr:to>
    <xdr:pic>
      <xdr:nvPicPr>
        <xdr:cNvPr id="25" name="Picture 28" descr="" hidden="0"/>
        <xdr:cNvPicPr/>
      </xdr:nvPicPr>
      <xdr:blipFill>
        <a:blip r:embed="rId22"/>
        <a:stretch/>
      </xdr:blipFill>
      <xdr:spPr bwMode="auto">
        <a:xfrm>
          <a:off x="5105069" y="17855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25</xdr:row>
      <xdr:rowOff>17999</xdr:rowOff>
    </xdr:from>
    <xdr:to>
      <xdr:col>4</xdr:col>
      <xdr:colOff>1480319</xdr:colOff>
      <xdr:row>25</xdr:row>
      <xdr:rowOff>163439</xdr:rowOff>
    </xdr:to>
    <xdr:pic>
      <xdr:nvPicPr>
        <xdr:cNvPr id="26" name="Picture 33" descr="" hidden="0"/>
        <xdr:cNvPicPr/>
      </xdr:nvPicPr>
      <xdr:blipFill>
        <a:blip r:embed="rId23"/>
        <a:stretch/>
      </xdr:blipFill>
      <xdr:spPr bwMode="auto">
        <a:xfrm>
          <a:off x="3262049" y="4828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40</xdr:row>
      <xdr:rowOff>18717</xdr:rowOff>
    </xdr:from>
    <xdr:to>
      <xdr:col>4</xdr:col>
      <xdr:colOff>1480319</xdr:colOff>
      <xdr:row>40</xdr:row>
      <xdr:rowOff>164159</xdr:rowOff>
    </xdr:to>
    <xdr:pic>
      <xdr:nvPicPr>
        <xdr:cNvPr id="27" name="Picture 34" descr="" hidden="0"/>
        <xdr:cNvPicPr/>
      </xdr:nvPicPr>
      <xdr:blipFill>
        <a:blip r:embed="rId24"/>
        <a:stretch/>
      </xdr:blipFill>
      <xdr:spPr bwMode="auto">
        <a:xfrm>
          <a:off x="3262049" y="76863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10</xdr:row>
      <xdr:rowOff>23399</xdr:rowOff>
    </xdr:from>
    <xdr:to>
      <xdr:col>4</xdr:col>
      <xdr:colOff>1480319</xdr:colOff>
      <xdr:row>10</xdr:row>
      <xdr:rowOff>168839</xdr:rowOff>
    </xdr:to>
    <xdr:pic>
      <xdr:nvPicPr>
        <xdr:cNvPr id="28" name="Picture 32" descr="" hidden="0"/>
        <xdr:cNvPicPr/>
      </xdr:nvPicPr>
      <xdr:blipFill>
        <a:blip r:embed="rId25"/>
        <a:stretch/>
      </xdr:blipFill>
      <xdr:spPr bwMode="auto">
        <a:xfrm>
          <a:off x="3262049" y="1976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26</xdr:row>
      <xdr:rowOff>23399</xdr:rowOff>
    </xdr:from>
    <xdr:to>
      <xdr:col>4</xdr:col>
      <xdr:colOff>1480319</xdr:colOff>
      <xdr:row>26</xdr:row>
      <xdr:rowOff>168839</xdr:rowOff>
    </xdr:to>
    <xdr:pic>
      <xdr:nvPicPr>
        <xdr:cNvPr id="29" name="Picture 37" descr="" hidden="0"/>
        <xdr:cNvPicPr/>
      </xdr:nvPicPr>
      <xdr:blipFill>
        <a:blip r:embed="rId26"/>
        <a:stretch/>
      </xdr:blipFill>
      <xdr:spPr bwMode="auto">
        <a:xfrm>
          <a:off x="3262049" y="5024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42</xdr:row>
      <xdr:rowOff>22679</xdr:rowOff>
    </xdr:from>
    <xdr:to>
      <xdr:col>7</xdr:col>
      <xdr:colOff>237239</xdr:colOff>
      <xdr:row>42</xdr:row>
      <xdr:rowOff>168119</xdr:rowOff>
    </xdr:to>
    <xdr:pic>
      <xdr:nvPicPr>
        <xdr:cNvPr id="30" name="Picture 38" descr="" hidden="0"/>
        <xdr:cNvPicPr/>
      </xdr:nvPicPr>
      <xdr:blipFill>
        <a:blip r:embed="rId27"/>
        <a:stretch/>
      </xdr:blipFill>
      <xdr:spPr bwMode="auto">
        <a:xfrm>
          <a:off x="5105069" y="807130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10</xdr:row>
      <xdr:rowOff>23399</xdr:rowOff>
    </xdr:from>
    <xdr:to>
      <xdr:col>7</xdr:col>
      <xdr:colOff>237239</xdr:colOff>
      <xdr:row>10</xdr:row>
      <xdr:rowOff>168839</xdr:rowOff>
    </xdr:to>
    <xdr:pic>
      <xdr:nvPicPr>
        <xdr:cNvPr id="31" name="Picture 36" descr="" hidden="0"/>
        <xdr:cNvPicPr/>
      </xdr:nvPicPr>
      <xdr:blipFill>
        <a:blip r:embed="rId28"/>
        <a:stretch/>
      </xdr:blipFill>
      <xdr:spPr bwMode="auto">
        <a:xfrm>
          <a:off x="5105069" y="19760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27</xdr:row>
      <xdr:rowOff>18717</xdr:rowOff>
    </xdr:from>
    <xdr:to>
      <xdr:col>7</xdr:col>
      <xdr:colOff>237239</xdr:colOff>
      <xdr:row>27</xdr:row>
      <xdr:rowOff>164159</xdr:rowOff>
    </xdr:to>
    <xdr:pic>
      <xdr:nvPicPr>
        <xdr:cNvPr id="32" name="Picture 41" descr="" hidden="0"/>
        <xdr:cNvPicPr/>
      </xdr:nvPicPr>
      <xdr:blipFill>
        <a:blip r:embed="rId29"/>
        <a:stretch/>
      </xdr:blipFill>
      <xdr:spPr bwMode="auto">
        <a:xfrm>
          <a:off x="5105069" y="520984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1257118</xdr:colOff>
      <xdr:row>43</xdr:row>
      <xdr:rowOff>17999</xdr:rowOff>
    </xdr:from>
    <xdr:to>
      <xdr:col>4</xdr:col>
      <xdr:colOff>1475639</xdr:colOff>
      <xdr:row>43</xdr:row>
      <xdr:rowOff>163439</xdr:rowOff>
    </xdr:to>
    <xdr:pic>
      <xdr:nvPicPr>
        <xdr:cNvPr id="33" name="Picture 42" descr="" hidden="0"/>
        <xdr:cNvPicPr/>
      </xdr:nvPicPr>
      <xdr:blipFill>
        <a:blip r:embed="rId30"/>
        <a:stretch/>
      </xdr:blipFill>
      <xdr:spPr bwMode="auto">
        <a:xfrm>
          <a:off x="3257369" y="8257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11</xdr:row>
      <xdr:rowOff>22679</xdr:rowOff>
    </xdr:from>
    <xdr:to>
      <xdr:col>4</xdr:col>
      <xdr:colOff>1480319</xdr:colOff>
      <xdr:row>11</xdr:row>
      <xdr:rowOff>168119</xdr:rowOff>
    </xdr:to>
    <xdr:pic>
      <xdr:nvPicPr>
        <xdr:cNvPr id="34" name="Picture 40" descr="" hidden="0"/>
        <xdr:cNvPicPr/>
      </xdr:nvPicPr>
      <xdr:blipFill>
        <a:blip r:embed="rId31"/>
        <a:stretch/>
      </xdr:blipFill>
      <xdr:spPr bwMode="auto">
        <a:xfrm>
          <a:off x="3262049" y="2165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26</xdr:row>
      <xdr:rowOff>23399</xdr:rowOff>
    </xdr:from>
    <xdr:to>
      <xdr:col>7</xdr:col>
      <xdr:colOff>241915</xdr:colOff>
      <xdr:row>26</xdr:row>
      <xdr:rowOff>168839</xdr:rowOff>
    </xdr:to>
    <xdr:pic>
      <xdr:nvPicPr>
        <xdr:cNvPr id="35" name="Picture 45" descr="" hidden="0"/>
        <xdr:cNvPicPr/>
      </xdr:nvPicPr>
      <xdr:blipFill>
        <a:blip r:embed="rId32"/>
        <a:stretch/>
      </xdr:blipFill>
      <xdr:spPr bwMode="auto">
        <a:xfrm>
          <a:off x="5109749" y="5024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43</xdr:row>
      <xdr:rowOff>17999</xdr:rowOff>
    </xdr:from>
    <xdr:to>
      <xdr:col>7</xdr:col>
      <xdr:colOff>237239</xdr:colOff>
      <xdr:row>43</xdr:row>
      <xdr:rowOff>163439</xdr:rowOff>
    </xdr:to>
    <xdr:pic>
      <xdr:nvPicPr>
        <xdr:cNvPr id="36" name="Picture 46" descr="" hidden="0"/>
        <xdr:cNvPicPr/>
      </xdr:nvPicPr>
      <xdr:blipFill>
        <a:blip r:embed="rId33"/>
        <a:stretch/>
      </xdr:blipFill>
      <xdr:spPr bwMode="auto">
        <a:xfrm>
          <a:off x="5105069" y="82571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11</xdr:row>
      <xdr:rowOff>17999</xdr:rowOff>
    </xdr:from>
    <xdr:to>
      <xdr:col>7</xdr:col>
      <xdr:colOff>237239</xdr:colOff>
      <xdr:row>11</xdr:row>
      <xdr:rowOff>163439</xdr:rowOff>
    </xdr:to>
    <xdr:pic>
      <xdr:nvPicPr>
        <xdr:cNvPr id="37" name="Picture 44" descr="" hidden="0"/>
        <xdr:cNvPicPr/>
      </xdr:nvPicPr>
      <xdr:blipFill>
        <a:blip r:embed="rId34"/>
        <a:stretch/>
      </xdr:blipFill>
      <xdr:spPr bwMode="auto">
        <a:xfrm>
          <a:off x="5105069" y="2161124"/>
          <a:ext cx="21851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27</xdr:row>
      <xdr:rowOff>18717</xdr:rowOff>
    </xdr:from>
    <xdr:to>
      <xdr:col>4</xdr:col>
      <xdr:colOff>1480319</xdr:colOff>
      <xdr:row>27</xdr:row>
      <xdr:rowOff>164159</xdr:rowOff>
    </xdr:to>
    <xdr:pic>
      <xdr:nvPicPr>
        <xdr:cNvPr id="38" name="Picture 49" descr="" hidden="0"/>
        <xdr:cNvPicPr/>
      </xdr:nvPicPr>
      <xdr:blipFill>
        <a:blip r:embed="rId35"/>
        <a:stretch/>
      </xdr:blipFill>
      <xdr:spPr bwMode="auto">
        <a:xfrm>
          <a:off x="3262049" y="52098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1257118</xdr:colOff>
      <xdr:row>42</xdr:row>
      <xdr:rowOff>17999</xdr:rowOff>
    </xdr:from>
    <xdr:to>
      <xdr:col>4</xdr:col>
      <xdr:colOff>1475639</xdr:colOff>
      <xdr:row>42</xdr:row>
      <xdr:rowOff>163439</xdr:rowOff>
    </xdr:to>
    <xdr:pic>
      <xdr:nvPicPr>
        <xdr:cNvPr id="39" name="Picture 50" descr="" hidden="0"/>
        <xdr:cNvPicPr/>
      </xdr:nvPicPr>
      <xdr:blipFill>
        <a:blip r:embed="rId36"/>
        <a:stretch/>
      </xdr:blipFill>
      <xdr:spPr bwMode="auto">
        <a:xfrm>
          <a:off x="3257369" y="80666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12</xdr:row>
      <xdr:rowOff>17999</xdr:rowOff>
    </xdr:from>
    <xdr:to>
      <xdr:col>4</xdr:col>
      <xdr:colOff>1480319</xdr:colOff>
      <xdr:row>12</xdr:row>
      <xdr:rowOff>163439</xdr:rowOff>
    </xdr:to>
    <xdr:pic>
      <xdr:nvPicPr>
        <xdr:cNvPr id="40" name="Picture 48" descr="" hidden="0"/>
        <xdr:cNvPicPr/>
      </xdr:nvPicPr>
      <xdr:blipFill>
        <a:blip r:embed="rId37"/>
        <a:stretch/>
      </xdr:blipFill>
      <xdr:spPr bwMode="auto">
        <a:xfrm>
          <a:off x="3262049" y="23516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28</xdr:row>
      <xdr:rowOff>23399</xdr:rowOff>
    </xdr:from>
    <xdr:to>
      <xdr:col>4</xdr:col>
      <xdr:colOff>1480319</xdr:colOff>
      <xdr:row>28</xdr:row>
      <xdr:rowOff>168839</xdr:rowOff>
    </xdr:to>
    <xdr:pic>
      <xdr:nvPicPr>
        <xdr:cNvPr id="41" name="Picture 53" descr="" hidden="0"/>
        <xdr:cNvPicPr/>
      </xdr:nvPicPr>
      <xdr:blipFill>
        <a:blip r:embed="rId38"/>
        <a:stretch/>
      </xdr:blipFill>
      <xdr:spPr bwMode="auto">
        <a:xfrm>
          <a:off x="3262049" y="54050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44</xdr:row>
      <xdr:rowOff>18717</xdr:rowOff>
    </xdr:from>
    <xdr:to>
      <xdr:col>7</xdr:col>
      <xdr:colOff>241915</xdr:colOff>
      <xdr:row>44</xdr:row>
      <xdr:rowOff>164159</xdr:rowOff>
    </xdr:to>
    <xdr:pic>
      <xdr:nvPicPr>
        <xdr:cNvPr id="42" name="Picture 54" descr="" hidden="0"/>
        <xdr:cNvPicPr/>
      </xdr:nvPicPr>
      <xdr:blipFill>
        <a:blip r:embed="rId39"/>
        <a:stretch/>
      </xdr:blipFill>
      <xdr:spPr bwMode="auto">
        <a:xfrm>
          <a:off x="5109749" y="844834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23399</xdr:colOff>
      <xdr:row>12</xdr:row>
      <xdr:rowOff>22679</xdr:rowOff>
    </xdr:from>
    <xdr:to>
      <xdr:col>7</xdr:col>
      <xdr:colOff>241915</xdr:colOff>
      <xdr:row>12</xdr:row>
      <xdr:rowOff>168119</xdr:rowOff>
    </xdr:to>
    <xdr:pic>
      <xdr:nvPicPr>
        <xdr:cNvPr id="43" name="Picture 52" descr="" hidden="0"/>
        <xdr:cNvPicPr/>
      </xdr:nvPicPr>
      <xdr:blipFill>
        <a:blip r:embed="rId40"/>
        <a:stretch/>
      </xdr:blipFill>
      <xdr:spPr bwMode="auto">
        <a:xfrm>
          <a:off x="5109749" y="23563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1257118</xdr:colOff>
      <xdr:row>45</xdr:row>
      <xdr:rowOff>23399</xdr:rowOff>
    </xdr:from>
    <xdr:to>
      <xdr:col>4</xdr:col>
      <xdr:colOff>1475639</xdr:colOff>
      <xdr:row>45</xdr:row>
      <xdr:rowOff>168839</xdr:rowOff>
    </xdr:to>
    <xdr:pic>
      <xdr:nvPicPr>
        <xdr:cNvPr id="44" name="Picture 57" descr="" hidden="0"/>
        <xdr:cNvPicPr/>
      </xdr:nvPicPr>
      <xdr:blipFill>
        <a:blip r:embed="rId41"/>
        <a:stretch/>
      </xdr:blipFill>
      <xdr:spPr bwMode="auto">
        <a:xfrm>
          <a:off x="3257369" y="86435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18717</xdr:colOff>
      <xdr:row>29</xdr:row>
      <xdr:rowOff>22679</xdr:rowOff>
    </xdr:from>
    <xdr:to>
      <xdr:col>7</xdr:col>
      <xdr:colOff>237239</xdr:colOff>
      <xdr:row>29</xdr:row>
      <xdr:rowOff>168119</xdr:rowOff>
    </xdr:to>
    <xdr:pic>
      <xdr:nvPicPr>
        <xdr:cNvPr id="45" name="Picture 58" descr="" hidden="0"/>
        <xdr:cNvPicPr/>
      </xdr:nvPicPr>
      <xdr:blipFill>
        <a:blip r:embed="rId42"/>
        <a:stretch/>
      </xdr:blipFill>
      <xdr:spPr bwMode="auto">
        <a:xfrm>
          <a:off x="5105069" y="559480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1261799</xdr:colOff>
      <xdr:row>13</xdr:row>
      <xdr:rowOff>22679</xdr:rowOff>
    </xdr:from>
    <xdr:to>
      <xdr:col>4</xdr:col>
      <xdr:colOff>1480319</xdr:colOff>
      <xdr:row>13</xdr:row>
      <xdr:rowOff>168119</xdr:rowOff>
    </xdr:to>
    <xdr:pic>
      <xdr:nvPicPr>
        <xdr:cNvPr id="46" name="Picture 56" descr="" hidden="0"/>
        <xdr:cNvPicPr/>
      </xdr:nvPicPr>
      <xdr:blipFill>
        <a:blip r:embed="rId43"/>
        <a:stretch/>
      </xdr:blipFill>
      <xdr:spPr bwMode="auto">
        <a:xfrm>
          <a:off x="3262049" y="25468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17999</xdr:colOff>
      <xdr:row>28</xdr:row>
      <xdr:rowOff>17999</xdr:rowOff>
    </xdr:from>
    <xdr:to>
      <xdr:col>7</xdr:col>
      <xdr:colOff>236519</xdr:colOff>
      <xdr:row>28</xdr:row>
      <xdr:rowOff>163439</xdr:rowOff>
    </xdr:to>
    <xdr:pic>
      <xdr:nvPicPr>
        <xdr:cNvPr id="47" name="Picture 61" descr="" hidden="0"/>
        <xdr:cNvPicPr/>
      </xdr:nvPicPr>
      <xdr:blipFill>
        <a:blip r:embed="rId44"/>
        <a:stretch/>
      </xdr:blipFill>
      <xdr:spPr bwMode="auto">
        <a:xfrm>
          <a:off x="5104349" y="53996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22318</xdr:colOff>
      <xdr:row>45</xdr:row>
      <xdr:rowOff>17999</xdr:rowOff>
    </xdr:from>
    <xdr:to>
      <xdr:col>7</xdr:col>
      <xdr:colOff>240839</xdr:colOff>
      <xdr:row>45</xdr:row>
      <xdr:rowOff>163439</xdr:rowOff>
    </xdr:to>
    <xdr:pic>
      <xdr:nvPicPr>
        <xdr:cNvPr id="48" name="Picture 62" descr="" hidden="0"/>
        <xdr:cNvPicPr/>
      </xdr:nvPicPr>
      <xdr:blipFill>
        <a:blip r:embed="rId45"/>
        <a:stretch/>
      </xdr:blipFill>
      <xdr:spPr bwMode="auto">
        <a:xfrm>
          <a:off x="5108669" y="86381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17999</xdr:colOff>
      <xdr:row>13</xdr:row>
      <xdr:rowOff>21599</xdr:rowOff>
    </xdr:from>
    <xdr:to>
      <xdr:col>7</xdr:col>
      <xdr:colOff>236519</xdr:colOff>
      <xdr:row>13</xdr:row>
      <xdr:rowOff>167039</xdr:rowOff>
    </xdr:to>
    <xdr:pic>
      <xdr:nvPicPr>
        <xdr:cNvPr id="49" name="Picture 60" descr="" hidden="0"/>
        <xdr:cNvPicPr/>
      </xdr:nvPicPr>
      <xdr:blipFill>
        <a:blip r:embed="rId46"/>
        <a:stretch/>
      </xdr:blipFill>
      <xdr:spPr bwMode="auto">
        <a:xfrm>
          <a:off x="5104349" y="2545723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1260719</xdr:colOff>
      <xdr:row>29</xdr:row>
      <xdr:rowOff>21599</xdr:rowOff>
    </xdr:from>
    <xdr:to>
      <xdr:col>4</xdr:col>
      <xdr:colOff>1479239</xdr:colOff>
      <xdr:row>29</xdr:row>
      <xdr:rowOff>167039</xdr:rowOff>
    </xdr:to>
    <xdr:pic>
      <xdr:nvPicPr>
        <xdr:cNvPr id="50" name="Picture 65" descr="" hidden="0"/>
        <xdr:cNvPicPr/>
      </xdr:nvPicPr>
      <xdr:blipFill>
        <a:blip r:embed="rId47"/>
        <a:stretch/>
      </xdr:blipFill>
      <xdr:spPr bwMode="auto">
        <a:xfrm>
          <a:off x="3260969" y="55937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1256399</xdr:colOff>
      <xdr:row>44</xdr:row>
      <xdr:rowOff>17999</xdr:rowOff>
    </xdr:from>
    <xdr:to>
      <xdr:col>4</xdr:col>
      <xdr:colOff>1474919</xdr:colOff>
      <xdr:row>44</xdr:row>
      <xdr:rowOff>163439</xdr:rowOff>
    </xdr:to>
    <xdr:pic>
      <xdr:nvPicPr>
        <xdr:cNvPr id="51" name="Picture 66" descr="" hidden="0"/>
        <xdr:cNvPicPr/>
      </xdr:nvPicPr>
      <xdr:blipFill>
        <a:blip r:embed="rId48"/>
        <a:stretch/>
      </xdr:blipFill>
      <xdr:spPr bwMode="auto">
        <a:xfrm>
          <a:off x="3256649" y="8447624"/>
          <a:ext cx="21851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14</xdr:row>
      <xdr:rowOff>24479</xdr:rowOff>
    </xdr:from>
    <xdr:to>
      <xdr:col>4</xdr:col>
      <xdr:colOff>1476719</xdr:colOff>
      <xdr:row>14</xdr:row>
      <xdr:rowOff>169919</xdr:rowOff>
    </xdr:to>
    <xdr:pic>
      <xdr:nvPicPr>
        <xdr:cNvPr id="52" name="Picture 64" descr="" hidden="0"/>
        <xdr:cNvPicPr/>
      </xdr:nvPicPr>
      <xdr:blipFill>
        <a:blip r:embed="rId49"/>
        <a:stretch/>
      </xdr:blipFill>
      <xdr:spPr bwMode="auto">
        <a:xfrm>
          <a:off x="3258449" y="2739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30</xdr:row>
      <xdr:rowOff>19079</xdr:rowOff>
    </xdr:from>
    <xdr:to>
      <xdr:col>4</xdr:col>
      <xdr:colOff>1481399</xdr:colOff>
      <xdr:row>30</xdr:row>
      <xdr:rowOff>164519</xdr:rowOff>
    </xdr:to>
    <xdr:pic>
      <xdr:nvPicPr>
        <xdr:cNvPr id="53" name="Picture 69" descr="" hidden="0"/>
        <xdr:cNvPicPr/>
      </xdr:nvPicPr>
      <xdr:blipFill>
        <a:blip r:embed="rId50"/>
        <a:stretch/>
      </xdr:blipFill>
      <xdr:spPr bwMode="auto">
        <a:xfrm>
          <a:off x="3263129" y="5781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46</xdr:row>
      <xdr:rowOff>19799</xdr:rowOff>
    </xdr:from>
    <xdr:to>
      <xdr:col>7</xdr:col>
      <xdr:colOff>238319</xdr:colOff>
      <xdr:row>46</xdr:row>
      <xdr:rowOff>165239</xdr:rowOff>
    </xdr:to>
    <xdr:pic>
      <xdr:nvPicPr>
        <xdr:cNvPr id="54" name="Picture 70" descr="" hidden="0"/>
        <xdr:cNvPicPr/>
      </xdr:nvPicPr>
      <xdr:blipFill>
        <a:blip r:embed="rId51"/>
        <a:stretch/>
      </xdr:blipFill>
      <xdr:spPr bwMode="auto">
        <a:xfrm>
          <a:off x="5106149" y="8830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48239</xdr:colOff>
      <xdr:row>14</xdr:row>
      <xdr:rowOff>19799</xdr:rowOff>
    </xdr:from>
    <xdr:to>
      <xdr:col>7</xdr:col>
      <xdr:colOff>193679</xdr:colOff>
      <xdr:row>14</xdr:row>
      <xdr:rowOff>165239</xdr:rowOff>
    </xdr:to>
    <xdr:pic>
      <xdr:nvPicPr>
        <xdr:cNvPr id="55" name="Picture 68" descr="" hidden="0"/>
        <xdr:cNvPicPr/>
      </xdr:nvPicPr>
      <xdr:blipFill>
        <a:blip r:embed="rId52"/>
        <a:stretch/>
      </xdr:blipFill>
      <xdr:spPr bwMode="auto">
        <a:xfrm>
          <a:off x="5134589" y="2734424"/>
          <a:ext cx="14543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43559</xdr:colOff>
      <xdr:row>31</xdr:row>
      <xdr:rowOff>19079</xdr:rowOff>
    </xdr:from>
    <xdr:to>
      <xdr:col>7</xdr:col>
      <xdr:colOff>188999</xdr:colOff>
      <xdr:row>31</xdr:row>
      <xdr:rowOff>164519</xdr:rowOff>
    </xdr:to>
    <xdr:pic>
      <xdr:nvPicPr>
        <xdr:cNvPr id="56" name="Picture 73" descr="" hidden="0"/>
        <xdr:cNvPicPr/>
      </xdr:nvPicPr>
      <xdr:blipFill>
        <a:blip r:embed="rId53"/>
        <a:stretch/>
      </xdr:blipFill>
      <xdr:spPr bwMode="auto">
        <a:xfrm>
          <a:off x="5129909" y="5972203"/>
          <a:ext cx="14543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1291319</xdr:colOff>
      <xdr:row>47</xdr:row>
      <xdr:rowOff>19079</xdr:rowOff>
    </xdr:from>
    <xdr:to>
      <xdr:col>4</xdr:col>
      <xdr:colOff>1436758</xdr:colOff>
      <xdr:row>47</xdr:row>
      <xdr:rowOff>164519</xdr:rowOff>
    </xdr:to>
    <xdr:pic>
      <xdr:nvPicPr>
        <xdr:cNvPr id="57" name="Picture 74" descr="" hidden="0"/>
        <xdr:cNvPicPr/>
      </xdr:nvPicPr>
      <xdr:blipFill>
        <a:blip r:embed="rId54"/>
        <a:stretch/>
      </xdr:blipFill>
      <xdr:spPr bwMode="auto">
        <a:xfrm>
          <a:off x="3291569" y="9020204"/>
          <a:ext cx="14543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15</xdr:row>
      <xdr:rowOff>19799</xdr:rowOff>
    </xdr:from>
    <xdr:to>
      <xdr:col>4</xdr:col>
      <xdr:colOff>1476719</xdr:colOff>
      <xdr:row>15</xdr:row>
      <xdr:rowOff>165239</xdr:rowOff>
    </xdr:to>
    <xdr:pic>
      <xdr:nvPicPr>
        <xdr:cNvPr id="58" name="Picture 72" descr="" hidden="0"/>
        <xdr:cNvPicPr/>
      </xdr:nvPicPr>
      <xdr:blipFill>
        <a:blip r:embed="rId55"/>
        <a:stretch/>
      </xdr:blipFill>
      <xdr:spPr bwMode="auto">
        <a:xfrm>
          <a:off x="3258449" y="2924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30</xdr:row>
      <xdr:rowOff>19079</xdr:rowOff>
    </xdr:from>
    <xdr:to>
      <xdr:col>7</xdr:col>
      <xdr:colOff>238319</xdr:colOff>
      <xdr:row>30</xdr:row>
      <xdr:rowOff>164519</xdr:rowOff>
    </xdr:to>
    <xdr:pic>
      <xdr:nvPicPr>
        <xdr:cNvPr id="59" name="Picture 77" descr="" hidden="0"/>
        <xdr:cNvPicPr/>
      </xdr:nvPicPr>
      <xdr:blipFill>
        <a:blip r:embed="rId56"/>
        <a:stretch/>
      </xdr:blipFill>
      <xdr:spPr bwMode="auto">
        <a:xfrm>
          <a:off x="5106149" y="5781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47</xdr:row>
      <xdr:rowOff>19079</xdr:rowOff>
    </xdr:from>
    <xdr:to>
      <xdr:col>7</xdr:col>
      <xdr:colOff>238319</xdr:colOff>
      <xdr:row>47</xdr:row>
      <xdr:rowOff>164519</xdr:rowOff>
    </xdr:to>
    <xdr:pic>
      <xdr:nvPicPr>
        <xdr:cNvPr id="60" name="Picture 78" descr="" hidden="0"/>
        <xdr:cNvPicPr/>
      </xdr:nvPicPr>
      <xdr:blipFill>
        <a:blip r:embed="rId57"/>
        <a:stretch/>
      </xdr:blipFill>
      <xdr:spPr bwMode="auto">
        <a:xfrm>
          <a:off x="5106149" y="9020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15</xdr:row>
      <xdr:rowOff>19799</xdr:rowOff>
    </xdr:from>
    <xdr:to>
      <xdr:col>7</xdr:col>
      <xdr:colOff>238319</xdr:colOff>
      <xdr:row>15</xdr:row>
      <xdr:rowOff>165239</xdr:rowOff>
    </xdr:to>
    <xdr:pic>
      <xdr:nvPicPr>
        <xdr:cNvPr id="61" name="Picture 76" descr="" hidden="0"/>
        <xdr:cNvPicPr/>
      </xdr:nvPicPr>
      <xdr:blipFill>
        <a:blip r:embed="rId58"/>
        <a:stretch/>
      </xdr:blipFill>
      <xdr:spPr bwMode="auto">
        <a:xfrm>
          <a:off x="5106149" y="2924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31</xdr:row>
      <xdr:rowOff>19079</xdr:rowOff>
    </xdr:from>
    <xdr:to>
      <xdr:col>4</xdr:col>
      <xdr:colOff>1481399</xdr:colOff>
      <xdr:row>31</xdr:row>
      <xdr:rowOff>164519</xdr:rowOff>
    </xdr:to>
    <xdr:pic>
      <xdr:nvPicPr>
        <xdr:cNvPr id="62" name="Picture 81" descr="" hidden="0"/>
        <xdr:cNvPicPr/>
      </xdr:nvPicPr>
      <xdr:blipFill>
        <a:blip r:embed="rId59"/>
        <a:stretch/>
      </xdr:blipFill>
      <xdr:spPr bwMode="auto">
        <a:xfrm>
          <a:off x="3263129" y="5972203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46</xdr:row>
      <xdr:rowOff>19799</xdr:rowOff>
    </xdr:from>
    <xdr:to>
      <xdr:col>4</xdr:col>
      <xdr:colOff>1476719</xdr:colOff>
      <xdr:row>46</xdr:row>
      <xdr:rowOff>165239</xdr:rowOff>
    </xdr:to>
    <xdr:pic>
      <xdr:nvPicPr>
        <xdr:cNvPr id="63" name="Picture 82" descr="" hidden="0"/>
        <xdr:cNvPicPr/>
      </xdr:nvPicPr>
      <xdr:blipFill>
        <a:blip r:embed="rId60"/>
        <a:stretch/>
      </xdr:blipFill>
      <xdr:spPr bwMode="auto">
        <a:xfrm>
          <a:off x="3258449" y="8830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16</xdr:row>
      <xdr:rowOff>19799</xdr:rowOff>
    </xdr:from>
    <xdr:to>
      <xdr:col>4</xdr:col>
      <xdr:colOff>1476719</xdr:colOff>
      <xdr:row>16</xdr:row>
      <xdr:rowOff>165239</xdr:rowOff>
    </xdr:to>
    <xdr:pic>
      <xdr:nvPicPr>
        <xdr:cNvPr id="64" name="Picture 80" descr="" hidden="0"/>
        <xdr:cNvPicPr/>
      </xdr:nvPicPr>
      <xdr:blipFill>
        <a:blip r:embed="rId61"/>
        <a:stretch/>
      </xdr:blipFill>
      <xdr:spPr bwMode="auto">
        <a:xfrm>
          <a:off x="3258449" y="31154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32</xdr:row>
      <xdr:rowOff>19799</xdr:rowOff>
    </xdr:from>
    <xdr:to>
      <xdr:col>4</xdr:col>
      <xdr:colOff>1476719</xdr:colOff>
      <xdr:row>32</xdr:row>
      <xdr:rowOff>165239</xdr:rowOff>
    </xdr:to>
    <xdr:pic>
      <xdr:nvPicPr>
        <xdr:cNvPr id="65" name="Picture 85" descr="" hidden="0"/>
        <xdr:cNvPicPr/>
      </xdr:nvPicPr>
      <xdr:blipFill>
        <a:blip r:embed="rId62"/>
        <a:stretch/>
      </xdr:blipFill>
      <xdr:spPr bwMode="auto">
        <a:xfrm>
          <a:off x="3258449" y="6163423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48</xdr:row>
      <xdr:rowOff>19079</xdr:rowOff>
    </xdr:from>
    <xdr:to>
      <xdr:col>7</xdr:col>
      <xdr:colOff>238319</xdr:colOff>
      <xdr:row>48</xdr:row>
      <xdr:rowOff>164519</xdr:rowOff>
    </xdr:to>
    <xdr:pic>
      <xdr:nvPicPr>
        <xdr:cNvPr id="66" name="Picture 86" descr="" hidden="0"/>
        <xdr:cNvPicPr/>
      </xdr:nvPicPr>
      <xdr:blipFill>
        <a:blip r:embed="rId63"/>
        <a:stretch/>
      </xdr:blipFill>
      <xdr:spPr bwMode="auto">
        <a:xfrm>
          <a:off x="5106149" y="9210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16</xdr:row>
      <xdr:rowOff>24479</xdr:rowOff>
    </xdr:from>
    <xdr:to>
      <xdr:col>7</xdr:col>
      <xdr:colOff>238319</xdr:colOff>
      <xdr:row>16</xdr:row>
      <xdr:rowOff>169919</xdr:rowOff>
    </xdr:to>
    <xdr:pic>
      <xdr:nvPicPr>
        <xdr:cNvPr id="67" name="Picture 84" descr="" hidden="0"/>
        <xdr:cNvPicPr/>
      </xdr:nvPicPr>
      <xdr:blipFill>
        <a:blip r:embed="rId64"/>
        <a:stretch/>
      </xdr:blipFill>
      <xdr:spPr bwMode="auto">
        <a:xfrm>
          <a:off x="5106149" y="3120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33</xdr:row>
      <xdr:rowOff>19799</xdr:rowOff>
    </xdr:from>
    <xdr:to>
      <xdr:col>7</xdr:col>
      <xdr:colOff>238319</xdr:colOff>
      <xdr:row>33</xdr:row>
      <xdr:rowOff>165239</xdr:rowOff>
    </xdr:to>
    <xdr:pic>
      <xdr:nvPicPr>
        <xdr:cNvPr id="68" name="Picture 89" descr="" hidden="0"/>
        <xdr:cNvPicPr/>
      </xdr:nvPicPr>
      <xdr:blipFill>
        <a:blip r:embed="rId65"/>
        <a:stretch/>
      </xdr:blipFill>
      <xdr:spPr bwMode="auto">
        <a:xfrm>
          <a:off x="5106149" y="6353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49</xdr:row>
      <xdr:rowOff>19079</xdr:rowOff>
    </xdr:from>
    <xdr:to>
      <xdr:col>4</xdr:col>
      <xdr:colOff>1481399</xdr:colOff>
      <xdr:row>49</xdr:row>
      <xdr:rowOff>164519</xdr:rowOff>
    </xdr:to>
    <xdr:pic>
      <xdr:nvPicPr>
        <xdr:cNvPr id="69" name="Picture 90" descr="" hidden="0"/>
        <xdr:cNvPicPr/>
      </xdr:nvPicPr>
      <xdr:blipFill>
        <a:blip r:embed="rId66"/>
        <a:stretch/>
      </xdr:blipFill>
      <xdr:spPr bwMode="auto">
        <a:xfrm>
          <a:off x="3263129" y="9401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17</xdr:row>
      <xdr:rowOff>19079</xdr:rowOff>
    </xdr:from>
    <xdr:to>
      <xdr:col>4</xdr:col>
      <xdr:colOff>1476719</xdr:colOff>
      <xdr:row>17</xdr:row>
      <xdr:rowOff>164519</xdr:rowOff>
    </xdr:to>
    <xdr:pic>
      <xdr:nvPicPr>
        <xdr:cNvPr id="70" name="Picture 88" descr="" hidden="0"/>
        <xdr:cNvPicPr/>
      </xdr:nvPicPr>
      <xdr:blipFill>
        <a:blip r:embed="rId67"/>
        <a:stretch/>
      </xdr:blipFill>
      <xdr:spPr bwMode="auto">
        <a:xfrm>
          <a:off x="3258449" y="3305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32</xdr:row>
      <xdr:rowOff>19799</xdr:rowOff>
    </xdr:from>
    <xdr:to>
      <xdr:col>7</xdr:col>
      <xdr:colOff>238319</xdr:colOff>
      <xdr:row>32</xdr:row>
      <xdr:rowOff>165239</xdr:rowOff>
    </xdr:to>
    <xdr:pic>
      <xdr:nvPicPr>
        <xdr:cNvPr id="71" name="Picture 93" descr="" hidden="0"/>
        <xdr:cNvPicPr/>
      </xdr:nvPicPr>
      <xdr:blipFill>
        <a:blip r:embed="rId68"/>
        <a:stretch/>
      </xdr:blipFill>
      <xdr:spPr bwMode="auto">
        <a:xfrm>
          <a:off x="5106149" y="6163423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49</xdr:row>
      <xdr:rowOff>19079</xdr:rowOff>
    </xdr:from>
    <xdr:to>
      <xdr:col>7</xdr:col>
      <xdr:colOff>238319</xdr:colOff>
      <xdr:row>49</xdr:row>
      <xdr:rowOff>164519</xdr:rowOff>
    </xdr:to>
    <xdr:pic>
      <xdr:nvPicPr>
        <xdr:cNvPr id="72" name="Picture 94" descr="" hidden="0"/>
        <xdr:cNvPicPr/>
      </xdr:nvPicPr>
      <xdr:blipFill>
        <a:blip r:embed="rId69"/>
        <a:stretch/>
      </xdr:blipFill>
      <xdr:spPr bwMode="auto">
        <a:xfrm>
          <a:off x="5106149" y="9401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17</xdr:row>
      <xdr:rowOff>19079</xdr:rowOff>
    </xdr:from>
    <xdr:to>
      <xdr:col>7</xdr:col>
      <xdr:colOff>238319</xdr:colOff>
      <xdr:row>17</xdr:row>
      <xdr:rowOff>164519</xdr:rowOff>
    </xdr:to>
    <xdr:pic>
      <xdr:nvPicPr>
        <xdr:cNvPr id="73" name="Picture 92" descr="" hidden="0"/>
        <xdr:cNvPicPr/>
      </xdr:nvPicPr>
      <xdr:blipFill>
        <a:blip r:embed="rId70"/>
        <a:stretch/>
      </xdr:blipFill>
      <xdr:spPr bwMode="auto">
        <a:xfrm>
          <a:off x="5106149" y="3305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33</xdr:row>
      <xdr:rowOff>19799</xdr:rowOff>
    </xdr:from>
    <xdr:to>
      <xdr:col>4</xdr:col>
      <xdr:colOff>1476719</xdr:colOff>
      <xdr:row>33</xdr:row>
      <xdr:rowOff>165239</xdr:rowOff>
    </xdr:to>
    <xdr:pic>
      <xdr:nvPicPr>
        <xdr:cNvPr id="74" name="Picture 99" descr="" hidden="0"/>
        <xdr:cNvPicPr/>
      </xdr:nvPicPr>
      <xdr:blipFill>
        <a:blip r:embed="rId71"/>
        <a:stretch/>
      </xdr:blipFill>
      <xdr:spPr bwMode="auto">
        <a:xfrm>
          <a:off x="3258449" y="6353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48</xdr:row>
      <xdr:rowOff>19079</xdr:rowOff>
    </xdr:from>
    <xdr:to>
      <xdr:col>4</xdr:col>
      <xdr:colOff>1476719</xdr:colOff>
      <xdr:row>48</xdr:row>
      <xdr:rowOff>164519</xdr:rowOff>
    </xdr:to>
    <xdr:pic>
      <xdr:nvPicPr>
        <xdr:cNvPr id="75" name="Picture 100" descr="" hidden="0"/>
        <xdr:cNvPicPr/>
      </xdr:nvPicPr>
      <xdr:blipFill>
        <a:blip r:embed="rId72"/>
        <a:stretch/>
      </xdr:blipFill>
      <xdr:spPr bwMode="auto">
        <a:xfrm>
          <a:off x="3258449" y="9210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1286638</xdr:colOff>
      <xdr:row>18</xdr:row>
      <xdr:rowOff>19079</xdr:rowOff>
    </xdr:from>
    <xdr:to>
      <xdr:col>4</xdr:col>
      <xdr:colOff>1459439</xdr:colOff>
      <xdr:row>18</xdr:row>
      <xdr:rowOff>164519</xdr:rowOff>
    </xdr:to>
    <xdr:pic>
      <xdr:nvPicPr>
        <xdr:cNvPr id="76" name="Picture 96" descr="" hidden="0"/>
        <xdr:cNvPicPr/>
      </xdr:nvPicPr>
      <xdr:blipFill>
        <a:blip r:embed="rId73"/>
        <a:stretch/>
      </xdr:blipFill>
      <xdr:spPr bwMode="auto">
        <a:xfrm>
          <a:off x="3286889" y="3495704"/>
          <a:ext cx="172799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1286638</xdr:colOff>
      <xdr:row>34</xdr:row>
      <xdr:rowOff>19799</xdr:rowOff>
    </xdr:from>
    <xdr:to>
      <xdr:col>4</xdr:col>
      <xdr:colOff>1459439</xdr:colOff>
      <xdr:row>34</xdr:row>
      <xdr:rowOff>165239</xdr:rowOff>
    </xdr:to>
    <xdr:pic>
      <xdr:nvPicPr>
        <xdr:cNvPr id="77" name="Picture 101" descr="" hidden="0"/>
        <xdr:cNvPicPr/>
      </xdr:nvPicPr>
      <xdr:blipFill>
        <a:blip r:embed="rId74"/>
        <a:stretch/>
      </xdr:blipFill>
      <xdr:spPr bwMode="auto">
        <a:xfrm>
          <a:off x="3286889" y="6544424"/>
          <a:ext cx="172799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38879</xdr:colOff>
      <xdr:row>50</xdr:row>
      <xdr:rowOff>19799</xdr:rowOff>
    </xdr:from>
    <xdr:to>
      <xdr:col>7</xdr:col>
      <xdr:colOff>211679</xdr:colOff>
      <xdr:row>50</xdr:row>
      <xdr:rowOff>165239</xdr:rowOff>
    </xdr:to>
    <xdr:pic>
      <xdr:nvPicPr>
        <xdr:cNvPr id="78" name="Picture 102" descr="" hidden="0"/>
        <xdr:cNvPicPr/>
      </xdr:nvPicPr>
      <xdr:blipFill>
        <a:blip r:embed="rId75"/>
        <a:stretch/>
      </xdr:blipFill>
      <xdr:spPr bwMode="auto">
        <a:xfrm>
          <a:off x="5125229" y="9592424"/>
          <a:ext cx="17280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18</xdr:row>
      <xdr:rowOff>19079</xdr:rowOff>
    </xdr:from>
    <xdr:to>
      <xdr:col>7</xdr:col>
      <xdr:colOff>238319</xdr:colOff>
      <xdr:row>18</xdr:row>
      <xdr:rowOff>164519</xdr:rowOff>
    </xdr:to>
    <xdr:pic>
      <xdr:nvPicPr>
        <xdr:cNvPr id="79" name="Picture 104" descr="" hidden="0"/>
        <xdr:cNvPicPr/>
      </xdr:nvPicPr>
      <xdr:blipFill>
        <a:blip r:embed="rId76"/>
        <a:stretch/>
      </xdr:blipFill>
      <xdr:spPr bwMode="auto">
        <a:xfrm>
          <a:off x="5106149" y="34957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35</xdr:row>
      <xdr:rowOff>19079</xdr:rowOff>
    </xdr:from>
    <xdr:to>
      <xdr:col>7</xdr:col>
      <xdr:colOff>242999</xdr:colOff>
      <xdr:row>35</xdr:row>
      <xdr:rowOff>164519</xdr:rowOff>
    </xdr:to>
    <xdr:pic>
      <xdr:nvPicPr>
        <xdr:cNvPr id="80" name="Picture 105" descr="" hidden="0"/>
        <xdr:cNvPicPr/>
      </xdr:nvPicPr>
      <xdr:blipFill>
        <a:blip r:embed="rId77"/>
        <a:stretch/>
      </xdr:blipFill>
      <xdr:spPr bwMode="auto">
        <a:xfrm>
          <a:off x="5110829" y="6734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51</xdr:row>
      <xdr:rowOff>19799</xdr:rowOff>
    </xdr:from>
    <xdr:to>
      <xdr:col>4</xdr:col>
      <xdr:colOff>1476719</xdr:colOff>
      <xdr:row>51</xdr:row>
      <xdr:rowOff>165239</xdr:rowOff>
    </xdr:to>
    <xdr:pic>
      <xdr:nvPicPr>
        <xdr:cNvPr id="81" name="Picture 106" descr="" hidden="0"/>
        <xdr:cNvPicPr/>
      </xdr:nvPicPr>
      <xdr:blipFill>
        <a:blip r:embed="rId78"/>
        <a:stretch/>
      </xdr:blipFill>
      <xdr:spPr bwMode="auto">
        <a:xfrm>
          <a:off x="3258449" y="9782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19</xdr:row>
      <xdr:rowOff>19079</xdr:rowOff>
    </xdr:from>
    <xdr:to>
      <xdr:col>4</xdr:col>
      <xdr:colOff>1476719</xdr:colOff>
      <xdr:row>19</xdr:row>
      <xdr:rowOff>164519</xdr:rowOff>
    </xdr:to>
    <xdr:pic>
      <xdr:nvPicPr>
        <xdr:cNvPr id="82" name="Picture 108" descr="" hidden="0"/>
        <xdr:cNvPicPr/>
      </xdr:nvPicPr>
      <xdr:blipFill>
        <a:blip r:embed="rId79"/>
        <a:stretch/>
      </xdr:blipFill>
      <xdr:spPr bwMode="auto">
        <a:xfrm>
          <a:off x="3258449" y="368620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34</xdr:row>
      <xdr:rowOff>19799</xdr:rowOff>
    </xdr:from>
    <xdr:to>
      <xdr:col>7</xdr:col>
      <xdr:colOff>238319</xdr:colOff>
      <xdr:row>34</xdr:row>
      <xdr:rowOff>165239</xdr:rowOff>
    </xdr:to>
    <xdr:pic>
      <xdr:nvPicPr>
        <xdr:cNvPr id="83" name="Picture 109" descr="" hidden="0"/>
        <xdr:cNvPicPr/>
      </xdr:nvPicPr>
      <xdr:blipFill>
        <a:blip r:embed="rId80"/>
        <a:stretch/>
      </xdr:blipFill>
      <xdr:spPr bwMode="auto">
        <a:xfrm>
          <a:off x="5106149" y="6544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51</xdr:row>
      <xdr:rowOff>19799</xdr:rowOff>
    </xdr:from>
    <xdr:to>
      <xdr:col>7</xdr:col>
      <xdr:colOff>238319</xdr:colOff>
      <xdr:row>51</xdr:row>
      <xdr:rowOff>165239</xdr:rowOff>
    </xdr:to>
    <xdr:pic>
      <xdr:nvPicPr>
        <xdr:cNvPr id="84" name="Picture 110" descr="" hidden="0"/>
        <xdr:cNvPicPr/>
      </xdr:nvPicPr>
      <xdr:blipFill>
        <a:blip r:embed="rId81"/>
        <a:stretch/>
      </xdr:blipFill>
      <xdr:spPr bwMode="auto">
        <a:xfrm>
          <a:off x="5106149" y="97829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20</xdr:row>
      <xdr:rowOff>19799</xdr:rowOff>
    </xdr:from>
    <xdr:to>
      <xdr:col>4</xdr:col>
      <xdr:colOff>1476719</xdr:colOff>
      <xdr:row>20</xdr:row>
      <xdr:rowOff>165239</xdr:rowOff>
    </xdr:to>
    <xdr:pic>
      <xdr:nvPicPr>
        <xdr:cNvPr id="85" name="Picture 112" descr="" hidden="0"/>
        <xdr:cNvPicPr/>
      </xdr:nvPicPr>
      <xdr:blipFill>
        <a:blip r:embed="rId82"/>
        <a:stretch/>
      </xdr:blipFill>
      <xdr:spPr bwMode="auto">
        <a:xfrm>
          <a:off x="3258449" y="38774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36</xdr:row>
      <xdr:rowOff>19079</xdr:rowOff>
    </xdr:from>
    <xdr:to>
      <xdr:col>4</xdr:col>
      <xdr:colOff>1481399</xdr:colOff>
      <xdr:row>36</xdr:row>
      <xdr:rowOff>164519</xdr:rowOff>
    </xdr:to>
    <xdr:pic>
      <xdr:nvPicPr>
        <xdr:cNvPr id="86" name="Picture 113" descr="" hidden="0"/>
        <xdr:cNvPicPr/>
      </xdr:nvPicPr>
      <xdr:blipFill>
        <a:blip r:embed="rId83"/>
        <a:stretch/>
      </xdr:blipFill>
      <xdr:spPr bwMode="auto">
        <a:xfrm>
          <a:off x="3263129" y="69247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52</xdr:row>
      <xdr:rowOff>19799</xdr:rowOff>
    </xdr:from>
    <xdr:to>
      <xdr:col>7</xdr:col>
      <xdr:colOff>238319</xdr:colOff>
      <xdr:row>52</xdr:row>
      <xdr:rowOff>165239</xdr:rowOff>
    </xdr:to>
    <xdr:pic>
      <xdr:nvPicPr>
        <xdr:cNvPr id="87" name="Picture 114" descr="" hidden="0"/>
        <xdr:cNvPicPr/>
      </xdr:nvPicPr>
      <xdr:blipFill>
        <a:blip r:embed="rId84"/>
        <a:stretch/>
      </xdr:blipFill>
      <xdr:spPr bwMode="auto">
        <a:xfrm>
          <a:off x="5106149" y="997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20</xdr:row>
      <xdr:rowOff>24479</xdr:rowOff>
    </xdr:from>
    <xdr:to>
      <xdr:col>7</xdr:col>
      <xdr:colOff>242999</xdr:colOff>
      <xdr:row>20</xdr:row>
      <xdr:rowOff>169919</xdr:rowOff>
    </xdr:to>
    <xdr:pic>
      <xdr:nvPicPr>
        <xdr:cNvPr id="88" name="Picture 3" descr="" hidden="0"/>
        <xdr:cNvPicPr/>
      </xdr:nvPicPr>
      <xdr:blipFill>
        <a:blip r:embed="rId85"/>
        <a:stretch/>
      </xdr:blipFill>
      <xdr:spPr bwMode="auto">
        <a:xfrm>
          <a:off x="5110829" y="38821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37</xdr:row>
      <xdr:rowOff>19079</xdr:rowOff>
    </xdr:from>
    <xdr:to>
      <xdr:col>7</xdr:col>
      <xdr:colOff>242999</xdr:colOff>
      <xdr:row>37</xdr:row>
      <xdr:rowOff>164519</xdr:rowOff>
    </xdr:to>
    <xdr:pic>
      <xdr:nvPicPr>
        <xdr:cNvPr id="89" name="Picture 87" descr="" hidden="0"/>
        <xdr:cNvPicPr/>
      </xdr:nvPicPr>
      <xdr:blipFill>
        <a:blip r:embed="rId86"/>
        <a:stretch/>
      </xdr:blipFill>
      <xdr:spPr bwMode="auto">
        <a:xfrm>
          <a:off x="5110829" y="7115203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53</xdr:row>
      <xdr:rowOff>19079</xdr:rowOff>
    </xdr:from>
    <xdr:to>
      <xdr:col>4</xdr:col>
      <xdr:colOff>1476719</xdr:colOff>
      <xdr:row>53</xdr:row>
      <xdr:rowOff>164519</xdr:rowOff>
    </xdr:to>
    <xdr:pic>
      <xdr:nvPicPr>
        <xdr:cNvPr id="90" name="Picture 91" descr="" hidden="0"/>
        <xdr:cNvPicPr/>
      </xdr:nvPicPr>
      <xdr:blipFill>
        <a:blip r:embed="rId87"/>
        <a:stretch/>
      </xdr:blipFill>
      <xdr:spPr bwMode="auto">
        <a:xfrm>
          <a:off x="3258449" y="10163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21</xdr:row>
      <xdr:rowOff>24479</xdr:rowOff>
    </xdr:from>
    <xdr:to>
      <xdr:col>4</xdr:col>
      <xdr:colOff>1481399</xdr:colOff>
      <xdr:row>21</xdr:row>
      <xdr:rowOff>169919</xdr:rowOff>
    </xdr:to>
    <xdr:pic>
      <xdr:nvPicPr>
        <xdr:cNvPr id="91" name="Picture 11" descr="" hidden="0"/>
        <xdr:cNvPicPr/>
      </xdr:nvPicPr>
      <xdr:blipFill>
        <a:blip r:embed="rId88"/>
        <a:stretch/>
      </xdr:blipFill>
      <xdr:spPr bwMode="auto">
        <a:xfrm>
          <a:off x="3263129" y="40726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36</xdr:row>
      <xdr:rowOff>23759</xdr:rowOff>
    </xdr:from>
    <xdr:to>
      <xdr:col>7</xdr:col>
      <xdr:colOff>242999</xdr:colOff>
      <xdr:row>36</xdr:row>
      <xdr:rowOff>169199</xdr:rowOff>
    </xdr:to>
    <xdr:pic>
      <xdr:nvPicPr>
        <xdr:cNvPr id="92" name="Picture 95" descr="" hidden="0"/>
        <xdr:cNvPicPr/>
      </xdr:nvPicPr>
      <xdr:blipFill>
        <a:blip r:embed="rId89"/>
        <a:stretch/>
      </xdr:blipFill>
      <xdr:spPr bwMode="auto">
        <a:xfrm>
          <a:off x="5110829" y="692938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53</xdr:row>
      <xdr:rowOff>19079</xdr:rowOff>
    </xdr:from>
    <xdr:to>
      <xdr:col>7</xdr:col>
      <xdr:colOff>238319</xdr:colOff>
      <xdr:row>53</xdr:row>
      <xdr:rowOff>164519</xdr:rowOff>
    </xdr:to>
    <xdr:pic>
      <xdr:nvPicPr>
        <xdr:cNvPr id="93" name="Picture 97" descr="" hidden="0"/>
        <xdr:cNvPicPr/>
      </xdr:nvPicPr>
      <xdr:blipFill>
        <a:blip r:embed="rId90"/>
        <a:stretch/>
      </xdr:blipFill>
      <xdr:spPr bwMode="auto">
        <a:xfrm>
          <a:off x="5106149" y="10163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19799</xdr:colOff>
      <xdr:row>21</xdr:row>
      <xdr:rowOff>19799</xdr:rowOff>
    </xdr:from>
    <xdr:to>
      <xdr:col>7</xdr:col>
      <xdr:colOff>238319</xdr:colOff>
      <xdr:row>21</xdr:row>
      <xdr:rowOff>165239</xdr:rowOff>
    </xdr:to>
    <xdr:pic>
      <xdr:nvPicPr>
        <xdr:cNvPr id="94" name="Picture 19" descr="" hidden="0"/>
        <xdr:cNvPicPr/>
      </xdr:nvPicPr>
      <xdr:blipFill>
        <a:blip r:embed="rId91"/>
        <a:stretch/>
      </xdr:blipFill>
      <xdr:spPr bwMode="auto">
        <a:xfrm>
          <a:off x="5106149" y="4067924"/>
          <a:ext cx="218520" cy="14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37</xdr:row>
      <xdr:rowOff>19079</xdr:rowOff>
    </xdr:from>
    <xdr:to>
      <xdr:col>4</xdr:col>
      <xdr:colOff>1481399</xdr:colOff>
      <xdr:row>37</xdr:row>
      <xdr:rowOff>164519</xdr:rowOff>
    </xdr:to>
    <xdr:pic>
      <xdr:nvPicPr>
        <xdr:cNvPr id="95" name="Picture 98" descr="" hidden="0"/>
        <xdr:cNvPicPr/>
      </xdr:nvPicPr>
      <xdr:blipFill>
        <a:blip r:embed="rId92"/>
        <a:stretch/>
      </xdr:blipFill>
      <xdr:spPr bwMode="auto">
        <a:xfrm>
          <a:off x="3263129" y="7115203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52</xdr:row>
      <xdr:rowOff>19799</xdr:rowOff>
    </xdr:from>
    <xdr:to>
      <xdr:col>4</xdr:col>
      <xdr:colOff>1481399</xdr:colOff>
      <xdr:row>52</xdr:row>
      <xdr:rowOff>165239</xdr:rowOff>
    </xdr:to>
    <xdr:pic>
      <xdr:nvPicPr>
        <xdr:cNvPr id="96" name="Picture 103" descr="" hidden="0"/>
        <xdr:cNvPicPr/>
      </xdr:nvPicPr>
      <xdr:blipFill>
        <a:blip r:embed="rId93"/>
        <a:stretch/>
      </xdr:blipFill>
      <xdr:spPr bwMode="auto">
        <a:xfrm>
          <a:off x="3263129" y="997342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24479</xdr:colOff>
      <xdr:row>19</xdr:row>
      <xdr:rowOff>23759</xdr:rowOff>
    </xdr:from>
    <xdr:to>
      <xdr:col>7</xdr:col>
      <xdr:colOff>242999</xdr:colOff>
      <xdr:row>19</xdr:row>
      <xdr:rowOff>169199</xdr:rowOff>
    </xdr:to>
    <xdr:pic>
      <xdr:nvPicPr>
        <xdr:cNvPr id="97" name="Picture 27" descr="" hidden="0"/>
        <xdr:cNvPicPr/>
      </xdr:nvPicPr>
      <xdr:blipFill>
        <a:blip r:embed="rId94"/>
        <a:stretch/>
      </xdr:blipFill>
      <xdr:spPr bwMode="auto">
        <a:xfrm>
          <a:off x="5110829" y="369088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1262879</xdr:colOff>
      <xdr:row>35</xdr:row>
      <xdr:rowOff>19079</xdr:rowOff>
    </xdr:from>
    <xdr:to>
      <xdr:col>4</xdr:col>
      <xdr:colOff>1481399</xdr:colOff>
      <xdr:row>35</xdr:row>
      <xdr:rowOff>164519</xdr:rowOff>
    </xdr:to>
    <xdr:pic>
      <xdr:nvPicPr>
        <xdr:cNvPr id="98" name="Picture 107" descr="" hidden="0"/>
        <xdr:cNvPicPr/>
      </xdr:nvPicPr>
      <xdr:blipFill>
        <a:blip r:embed="rId95"/>
        <a:stretch/>
      </xdr:blipFill>
      <xdr:spPr bwMode="auto">
        <a:xfrm>
          <a:off x="3263129" y="6734204"/>
          <a:ext cx="218520" cy="1454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1258199</xdr:colOff>
      <xdr:row>50</xdr:row>
      <xdr:rowOff>19799</xdr:rowOff>
    </xdr:from>
    <xdr:to>
      <xdr:col>4</xdr:col>
      <xdr:colOff>1476719</xdr:colOff>
      <xdr:row>50</xdr:row>
      <xdr:rowOff>165239</xdr:rowOff>
    </xdr:to>
    <xdr:pic>
      <xdr:nvPicPr>
        <xdr:cNvPr id="99" name="Picture 111" descr="" hidden="0"/>
        <xdr:cNvPicPr/>
      </xdr:nvPicPr>
      <xdr:blipFill>
        <a:blip r:embed="rId96"/>
        <a:stretch/>
      </xdr:blipFill>
      <xdr:spPr bwMode="auto">
        <a:xfrm>
          <a:off x="3258449" y="9592424"/>
          <a:ext cx="218520" cy="145439"/>
        </a:xfrm>
        <a:prstGeom prst="rect">
          <a:avLst/>
        </a:prstGeom>
        <a:ln>
          <a:noFill/>
        </a:ln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drawing" Target="../drawings/drawing1.xml"/><Relationship  Id="rId2" Type="http://schemas.openxmlformats.org/officeDocument/2006/relationships/hyperlink" Target="http://www.excely.com/football/fifa-world-cup-statistics.shtml" TargetMode="External"/><Relationship  Id="rId1" Type="http://schemas.openxmlformats.org/officeDocument/2006/relationships/hyperlink" Target="http://www.excely.com/football/2018-fifa-world-cup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1" showRowColHeaders="1" workbookViewId="0" zoomScale="100">
      <pane state="frozen" topLeftCell="B2" xSplit="1" ySplit="1"/>
      <selection activeCell="A1" activeCellId="0" sqref="A1"/>
    </sheetView>
  </sheetViews>
  <sheetFormatPr defaultRowHeight="15"/>
  <cols>
    <col customWidth="1" hidden="0" min="1" max="1025" style="0" width="14"/>
  </cols>
  <sheetData>
    <row ht="15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ht="15" r="2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ht="15" r="3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ht="15" r="4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ht="15" r="5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ht="15" r="6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ht="15" r="7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ht="15" r="8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ht="15" r="9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ht="15" r="10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ht="15" r="11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ht="15" r="12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ht="15" r="13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ht="15" r="14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ht="15" r="15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ht="15" r="18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ht="15" r="19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ht="15" r="20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ht="15" r="21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ht="15" r="22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ht="15" r="23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ht="15" r="24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ht="15" r="25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ht="15" r="26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ht="15" r="27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ht="15" r="28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ht="15" r="29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ht="15" r="30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ht="15" r="31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ht="15" r="32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ht="15" r="33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ht="15" r="34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ht="15" r="35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ht="15" r="36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ht="15" r="37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ht="15" r="38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ht="15" r="39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ht="15" r="40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ht="15" r="41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ht="15" r="42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ht="15" r="43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ht="15" r="44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ht="15" r="45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ht="15" r="46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ht="15" r="47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ht="15" r="48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ht="15" r="49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ht="15" r="50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ht="15" r="51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ht="15" r="52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ht="15" r="53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ht="15" r="54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ht="15" r="55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ht="15" r="56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ht="15" r="57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ht="15" r="58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ht="15" r="59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ht="15" r="60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ht="15" r="61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ht="15" r="62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ht="15" r="63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ht="15" r="64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ht="15" r="65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ht="15" r="66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ht="15" r="67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ht="15" r="68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ht="15" r="69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ht="15" r="70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ht="15" r="71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ht="15" r="72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ht="15" r="73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ht="15" r="74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ht="15" r="75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ht="15" r="76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ht="15" r="77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ht="15" r="78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ht="15" r="79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ht="15" r="80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ht="15" r="81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ht="15" r="82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ht="15" r="83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ht="15" r="84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ht="15" r="85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ht="15" r="86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ht="15" r="87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ht="15" r="88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ht="15" r="89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ht="15" r="90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ht="15" r="91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ht="15" r="92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ht="15" r="93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ht="15" r="94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ht="15" r="95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ht="15" r="96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ht="15" r="97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ht="15" r="98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ht="15" r="99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ht="15" r="100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ht="15" r="101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ht="15" r="102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ht="15" r="103">
      <c r="A103" s="3"/>
    </row>
    <row ht="15" r="104">
      <c r="A104" s="3"/>
    </row>
    <row ht="15" r="105">
      <c r="A105" s="3"/>
    </row>
    <row ht="15" r="106">
      <c r="A106" s="3"/>
    </row>
    <row ht="15" r="107">
      <c r="A107" s="3"/>
    </row>
    <row ht="15" r="108">
      <c r="A108" s="3"/>
    </row>
    <row ht="15" r="109">
      <c r="A109" s="3"/>
    </row>
    <row ht="15" r="110">
      <c r="A110" s="3"/>
    </row>
    <row ht="15" r="111">
      <c r="A111" s="3"/>
    </row>
    <row ht="15" r="112">
      <c r="A112" s="3"/>
    </row>
    <row ht="15" r="113">
      <c r="A113" s="3"/>
    </row>
    <row ht="15" r="114">
      <c r="A114" s="3"/>
    </row>
    <row ht="15" r="115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1" workbookViewId="0" zoomScale="100">
      <selection activeCell="C12" activeCellId="0" sqref="C12"/>
    </sheetView>
  </sheetViews>
  <sheetFormatPr defaultRowHeight="15"/>
  <cols>
    <col customWidth="1" hidden="0" min="1" max="1" style="0" width="1.1399999999999999"/>
    <col customWidth="1" hidden="0" min="2" max="2" style="0" width="18.850000000000001"/>
    <col customWidth="1" hidden="0" min="3" max="3" style="0" width="20.280000000000001"/>
    <col customWidth="1" hidden="0" min="4" max="4" style="0" width="9.1400000000000006"/>
    <col customWidth="1" hidden="0" min="5" max="5" style="0" width="1.1399999999999999"/>
    <col customWidth="1" hidden="0" min="6" max="6" style="0" width="9.1400000000000006"/>
    <col customWidth="1" hidden="0" min="7" max="7" style="0" width="27.57"/>
    <col customWidth="1" hidden="0" min="8" max="8" style="0" width="2.71"/>
    <col customWidth="1" hidden="0" min="9" max="9" style="0" width="1.1399999999999999"/>
    <col customWidth="1" hidden="0" min="10" max="1025" style="0" width="9.1400000000000006"/>
  </cols>
  <sheetData>
    <row ht="7.5" customHeight="1" r="1"/>
    <row ht="16.5" r="2">
      <c r="B2" s="4" t="s">
        <v>2500</v>
      </c>
      <c r="C2" s="5"/>
      <c r="D2" s="6"/>
      <c r="F2" s="4" t="s">
        <v>2501</v>
      </c>
      <c r="G2" s="5"/>
      <c r="H2" s="6"/>
    </row>
    <row ht="9" customHeight="1" r="3">
      <c r="B3" s="7"/>
      <c r="C3" s="8"/>
      <c r="D3" s="9"/>
      <c r="F3" s="7"/>
      <c r="G3" s="8"/>
      <c r="H3" s="9"/>
    </row>
    <row ht="15" r="4">
      <c r="B4" s="10" t="s">
        <v>2502</v>
      </c>
      <c r="C4" s="11" t="s">
        <v>35</v>
      </c>
      <c r="D4" s="9"/>
      <c r="F4" s="7"/>
      <c r="G4" s="12"/>
      <c r="H4" s="9"/>
    </row>
    <row ht="15" r="5">
      <c r="B5" s="7"/>
      <c r="C5" s="8"/>
      <c r="D5" s="9"/>
      <c r="F5" s="13" t="s">
        <v>2503</v>
      </c>
      <c r="G5" s="14" t="s">
        <v>2504</v>
      </c>
      <c r="H5" s="9"/>
    </row>
    <row ht="15" r="6">
      <c r="B6" s="10" t="s">
        <v>2505</v>
      </c>
      <c r="C6" s="11" t="s">
        <v>2506</v>
      </c>
      <c r="D6" s="9"/>
      <c r="F6" s="13" t="s">
        <v>2507</v>
      </c>
      <c r="G6" s="15" t="s">
        <v>2508</v>
      </c>
      <c r="H6" s="9"/>
    </row>
    <row ht="15" r="7">
      <c r="B7" s="7"/>
      <c r="C7" s="8"/>
      <c r="D7" s="9"/>
      <c r="F7" s="13" t="s">
        <v>2509</v>
      </c>
      <c r="G7" s="15" t="s">
        <v>2510</v>
      </c>
      <c r="H7" s="9"/>
    </row>
    <row ht="15" r="8">
      <c r="B8" s="10" t="s">
        <v>2511</v>
      </c>
      <c r="C8" s="11" t="s">
        <v>2512</v>
      </c>
      <c r="D8" s="9"/>
      <c r="F8" s="13" t="s">
        <v>2513</v>
      </c>
      <c r="G8" s="15" t="s">
        <v>2514</v>
      </c>
      <c r="H8" s="9"/>
    </row>
    <row ht="15" r="9">
      <c r="B9" s="7"/>
      <c r="C9" s="8"/>
      <c r="D9" s="9"/>
      <c r="F9" s="13" t="s">
        <v>2515</v>
      </c>
      <c r="G9" s="16" t="s">
        <v>2516</v>
      </c>
      <c r="H9" s="9"/>
    </row>
    <row ht="15" r="10">
      <c r="B10" s="10" t="s">
        <v>2517</v>
      </c>
      <c r="C10" s="11" t="s">
        <v>2518</v>
      </c>
      <c r="D10" s="9"/>
      <c r="F10" s="7"/>
      <c r="G10" s="17"/>
      <c r="H10" s="9"/>
    </row>
    <row ht="15" r="11">
      <c r="B11" s="7"/>
      <c r="C11" s="8"/>
      <c r="D11" s="9"/>
      <c r="F11" s="18"/>
      <c r="G11" s="19"/>
      <c r="H11" s="20"/>
    </row>
    <row ht="15" r="12">
      <c r="B12" s="10" t="s">
        <v>2519</v>
      </c>
      <c r="C12" s="11" t="s">
        <v>1427</v>
      </c>
      <c r="D12" s="9"/>
    </row>
    <row ht="9" customHeight="1" r="13">
      <c r="B13" s="18"/>
      <c r="C13" s="19"/>
      <c r="D13" s="20"/>
    </row>
    <row ht="9" customHeight="1" r="14"/>
    <row ht="9" customHeight="1" r="15">
      <c r="B15" s="21"/>
      <c r="C15" s="22"/>
      <c r="D15" s="23"/>
      <c r="F15" s="24" t="s">
        <v>2520</v>
      </c>
      <c r="G15" s="24">
        <f>IF(ISERROR(MATCH(C4,lang_list,0)),1,MATCH(C4,lang_list,0))</f>
        <v>36</v>
      </c>
      <c r="H15" s="24"/>
      <c r="I15" s="24" t="str">
        <f>IFERROR(VLOOKUP(C12,T,lang,0),"")</f>
        <v>Alemania</v>
      </c>
    </row>
    <row ht="16.5" r="16">
      <c r="B16" s="7"/>
      <c r="C16" s="25" t="s">
        <v>2516</v>
      </c>
      <c r="D16" s="9"/>
      <c r="F16" s="24" t="s">
        <v>2521</v>
      </c>
      <c r="G16" s="24">
        <f>TIME(VLOOKUP(C8,F18:G41,2,0),VLOOKUP(C10,F43:G46,2,0),0)+IF(C6="Yes",TIME(1,0,0),0)</f>
        <v>0.29166666666666702</v>
      </c>
      <c r="H16" s="24"/>
      <c r="I16" s="24"/>
    </row>
    <row ht="15" r="17">
      <c r="B17" s="26" t="str">
        <f>VLOOKUP("Germany",T,lang,0)</f>
        <v>Alemania</v>
      </c>
      <c r="C17" s="27">
        <v>1602</v>
      </c>
      <c r="D17" s="9"/>
      <c r="F17" s="24"/>
      <c r="G17" s="24"/>
      <c r="H17" s="24"/>
      <c r="I17" s="24" t="s">
        <v>1200</v>
      </c>
    </row>
    <row ht="15" r="18">
      <c r="B18" s="26" t="str">
        <f>VLOOKUP("Brazil",T,lang,0)</f>
        <v>Brasil</v>
      </c>
      <c r="C18" s="28">
        <v>1483</v>
      </c>
      <c r="D18" s="9"/>
      <c r="F18" s="24" t="s">
        <v>2522</v>
      </c>
      <c r="G18" s="24">
        <v>0</v>
      </c>
      <c r="H18" s="24"/>
      <c r="I18" s="24" t="s">
        <v>1465</v>
      </c>
    </row>
    <row ht="15" r="19">
      <c r="B19" s="26" t="str">
        <f>VLOOKUP("Portugal",T,lang,0)</f>
        <v>Portugal</v>
      </c>
      <c r="C19" s="28">
        <v>1358</v>
      </c>
      <c r="D19" s="9"/>
      <c r="F19" s="24" t="s">
        <v>2523</v>
      </c>
      <c r="G19" s="24">
        <v>1</v>
      </c>
      <c r="H19" s="24"/>
      <c r="I19" s="24" t="s">
        <v>1791</v>
      </c>
    </row>
    <row ht="15" r="20">
      <c r="B20" s="26" t="str">
        <f>VLOOKUP("Argentina",T,lang,0)</f>
        <v>Argentina</v>
      </c>
      <c r="C20" s="28">
        <v>1348</v>
      </c>
      <c r="D20" s="9"/>
      <c r="F20" s="24" t="s">
        <v>2524</v>
      </c>
      <c r="G20" s="24">
        <v>2</v>
      </c>
      <c r="H20" s="24"/>
      <c r="I20" s="24" t="s">
        <v>1761</v>
      </c>
    </row>
    <row ht="15" r="21">
      <c r="B21" s="26" t="str">
        <f>VLOOKUP("Belgium",T,lang,0)</f>
        <v>Bélgica</v>
      </c>
      <c r="C21" s="28">
        <v>1325</v>
      </c>
      <c r="D21" s="9"/>
      <c r="F21" s="24" t="s">
        <v>2525</v>
      </c>
      <c r="G21" s="24">
        <v>3</v>
      </c>
      <c r="H21" s="24"/>
      <c r="I21" s="24" t="s">
        <v>1495</v>
      </c>
    </row>
    <row ht="15" r="22">
      <c r="B22" s="26" t="str">
        <f>VLOOKUP("Spain",T,lang,0)</f>
        <v>España</v>
      </c>
      <c r="C22" s="28">
        <v>1231</v>
      </c>
      <c r="D22" s="9"/>
      <c r="F22" s="24" t="s">
        <v>2526</v>
      </c>
      <c r="G22" s="24">
        <v>4</v>
      </c>
      <c r="H22" s="24"/>
      <c r="I22" s="24" t="s">
        <v>1586</v>
      </c>
    </row>
    <row ht="15" r="23">
      <c r="B23" s="26" t="str">
        <f>VLOOKUP("Poland",T,lang,0)</f>
        <v>Polonia</v>
      </c>
      <c r="C23" s="28">
        <v>1209</v>
      </c>
      <c r="D23" s="9"/>
      <c r="F23" s="24" t="s">
        <v>2527</v>
      </c>
      <c r="G23" s="24">
        <v>5</v>
      </c>
      <c r="H23" s="24"/>
      <c r="I23" s="24" t="s">
        <v>1081</v>
      </c>
    </row>
    <row ht="15" r="24">
      <c r="B24" s="26" t="str">
        <f>VLOOKUP("Switzerland",T,lang,0)</f>
        <v>Suiza</v>
      </c>
      <c r="C24" s="28">
        <v>1190</v>
      </c>
      <c r="D24" s="9"/>
      <c r="F24" s="24" t="s">
        <v>2528</v>
      </c>
      <c r="G24" s="24">
        <v>6</v>
      </c>
      <c r="H24" s="24"/>
      <c r="I24" s="24" t="s">
        <v>1522</v>
      </c>
    </row>
    <row ht="15" r="25">
      <c r="B25" s="26" t="str">
        <f>VLOOKUP("France",T,lang,0)</f>
        <v>Francia</v>
      </c>
      <c r="C25" s="28">
        <v>1183</v>
      </c>
      <c r="D25" s="9"/>
      <c r="F25" s="24" t="s">
        <v>2512</v>
      </c>
      <c r="G25" s="24">
        <v>7</v>
      </c>
      <c r="H25" s="24"/>
      <c r="I25" s="24" t="s">
        <v>1712</v>
      </c>
    </row>
    <row ht="15" r="26">
      <c r="B26" s="26" t="str">
        <f>VLOOKUP("Peru",T,lang,0)</f>
        <v>Perú</v>
      </c>
      <c r="C26" s="28">
        <v>1128</v>
      </c>
      <c r="D26" s="9"/>
      <c r="F26" s="24" t="s">
        <v>2529</v>
      </c>
      <c r="G26" s="24">
        <v>8</v>
      </c>
      <c r="H26" s="24"/>
      <c r="I26" s="24" t="s">
        <v>1318</v>
      </c>
    </row>
    <row ht="15" r="27">
      <c r="B27" s="26" t="str">
        <f>VLOOKUP("Denmark",T,lang,0)</f>
        <v>Dinamarca</v>
      </c>
      <c r="C27" s="28">
        <v>1099</v>
      </c>
      <c r="D27" s="9"/>
      <c r="F27" s="24" t="s">
        <v>2530</v>
      </c>
      <c r="G27" s="24">
        <v>9</v>
      </c>
      <c r="H27" s="24"/>
      <c r="I27" s="24" t="s">
        <v>1166</v>
      </c>
    </row>
    <row ht="15" r="28">
      <c r="B28" s="26" t="str">
        <f>VLOOKUP("Colombia",T,lang,0)</f>
        <v>Colombia</v>
      </c>
      <c r="C28" s="28">
        <v>1078</v>
      </c>
      <c r="D28" s="9"/>
      <c r="F28" s="24" t="s">
        <v>2531</v>
      </c>
      <c r="G28" s="24">
        <v>10</v>
      </c>
      <c r="H28" s="24"/>
      <c r="I28" s="24" t="s">
        <v>1427</v>
      </c>
    </row>
    <row ht="15" r="29">
      <c r="B29" s="26" t="str">
        <f>VLOOKUP("England",T,lang,0)</f>
        <v>Inglaterra</v>
      </c>
      <c r="C29" s="28">
        <v>1047</v>
      </c>
      <c r="D29" s="9"/>
      <c r="F29" s="24" t="s">
        <v>2532</v>
      </c>
      <c r="G29" s="24">
        <v>11</v>
      </c>
      <c r="H29" s="24"/>
      <c r="I29" s="24" t="s">
        <v>1637</v>
      </c>
    </row>
    <row ht="15" r="30">
      <c r="B30" s="26" t="str">
        <f>VLOOKUP("Mexico",T,lang,0)</f>
        <v>México</v>
      </c>
      <c r="C30" s="28">
        <v>1032</v>
      </c>
      <c r="D30" s="9"/>
      <c r="F30" s="24" t="s">
        <v>2533</v>
      </c>
      <c r="G30" s="24">
        <v>12</v>
      </c>
      <c r="H30" s="24"/>
      <c r="I30" s="24" t="s">
        <v>1742</v>
      </c>
    </row>
    <row ht="15" r="31">
      <c r="B31" s="26" t="str">
        <f>VLOOKUP("Croatia",T,lang,0)</f>
        <v>Croacia</v>
      </c>
      <c r="C31" s="28">
        <v>1018</v>
      </c>
      <c r="D31" s="9"/>
      <c r="F31" s="24" t="s">
        <v>2534</v>
      </c>
      <c r="G31" s="24">
        <v>13</v>
      </c>
      <c r="H31" s="24"/>
      <c r="I31" s="24" t="s">
        <v>1608</v>
      </c>
    </row>
    <row ht="15" r="32">
      <c r="B32" s="26" t="str">
        <f>VLOOKUP("Sweden",T,lang,0)</f>
        <v>Suecia</v>
      </c>
      <c r="C32" s="28">
        <v>998</v>
      </c>
      <c r="D32" s="9"/>
      <c r="F32" s="24" t="s">
        <v>2535</v>
      </c>
      <c r="G32" s="24">
        <v>14</v>
      </c>
      <c r="H32" s="24"/>
      <c r="I32" s="24" t="s">
        <v>1244</v>
      </c>
    </row>
    <row ht="15" r="33">
      <c r="B33" s="26" t="str">
        <f>VLOOKUP("Uruguay",T,lang,0)</f>
        <v>Uruguay</v>
      </c>
      <c r="C33" s="28">
        <v>924</v>
      </c>
      <c r="D33" s="9"/>
      <c r="F33" s="24" t="s">
        <v>2536</v>
      </c>
      <c r="G33" s="24">
        <v>15</v>
      </c>
      <c r="H33" s="24"/>
      <c r="I33" s="24" t="s">
        <v>1119</v>
      </c>
    </row>
    <row ht="15" r="34">
      <c r="B34" s="26" t="str">
        <f>VLOOKUP("Iceland",T,lang,0)</f>
        <v>Islandia</v>
      </c>
      <c r="C34" s="28">
        <v>910</v>
      </c>
      <c r="D34" s="9"/>
      <c r="F34" s="24" t="s">
        <v>2537</v>
      </c>
      <c r="G34" s="24">
        <v>16</v>
      </c>
      <c r="H34" s="24"/>
      <c r="I34" s="24" t="s">
        <v>1822</v>
      </c>
    </row>
    <row ht="15" r="35">
      <c r="B35" s="26" t="str">
        <f>VLOOKUP("Senegal",T,lang,0)</f>
        <v>Senegal</v>
      </c>
      <c r="C35" s="28">
        <v>884</v>
      </c>
      <c r="D35" s="9"/>
      <c r="F35" s="24" t="s">
        <v>2538</v>
      </c>
      <c r="G35" s="24">
        <v>17</v>
      </c>
      <c r="H35" s="24"/>
      <c r="I35" s="24" t="s">
        <v>1221</v>
      </c>
    </row>
    <row ht="15" r="36">
      <c r="B36" s="26" t="str">
        <f>VLOOKUP("Costa Rica",T,lang,0)</f>
        <v xml:space="preserve">Costa Rica</v>
      </c>
      <c r="C36" s="28">
        <v>850</v>
      </c>
      <c r="D36" s="9"/>
      <c r="F36" s="24" t="s">
        <v>2539</v>
      </c>
      <c r="G36" s="24">
        <v>18</v>
      </c>
      <c r="H36" s="24"/>
      <c r="I36" s="24" t="s">
        <v>1946</v>
      </c>
    </row>
    <row ht="15" r="37">
      <c r="B37" s="26" t="str">
        <f>VLOOKUP("Tunisia",T,lang,0)</f>
        <v>Túnez</v>
      </c>
      <c r="C37" s="28">
        <v>838</v>
      </c>
      <c r="D37" s="9"/>
      <c r="F37" s="24" t="s">
        <v>2540</v>
      </c>
      <c r="G37" s="24">
        <v>19</v>
      </c>
      <c r="H37" s="24"/>
      <c r="I37" s="24" t="s">
        <v>1379</v>
      </c>
    </row>
    <row ht="15" r="38">
      <c r="B38" s="26" t="str">
        <f>VLOOKUP("Egypt",T,lang,0)</f>
        <v>Egipto</v>
      </c>
      <c r="C38" s="28">
        <v>805</v>
      </c>
      <c r="D38" s="9"/>
      <c r="F38" s="24" t="s">
        <v>2541</v>
      </c>
      <c r="G38" s="24">
        <v>20</v>
      </c>
      <c r="H38" s="24"/>
      <c r="I38" s="24" t="s">
        <v>1283</v>
      </c>
    </row>
    <row ht="15" r="39">
      <c r="B39" s="26" t="str">
        <f>VLOOKUP("Iran",T,lang,0)</f>
        <v>Irán</v>
      </c>
      <c r="C39" s="28">
        <v>798</v>
      </c>
      <c r="D39" s="9"/>
      <c r="F39" s="24" t="s">
        <v>2542</v>
      </c>
      <c r="G39" s="24">
        <v>21</v>
      </c>
      <c r="H39" s="24"/>
      <c r="I39" s="24" t="s">
        <v>1848</v>
      </c>
    </row>
    <row ht="15" r="40">
      <c r="B40" s="26" t="str">
        <f>VLOOKUP("Serbia",T,lang,0)</f>
        <v>Serbia</v>
      </c>
      <c r="C40" s="28">
        <v>756</v>
      </c>
      <c r="D40" s="9"/>
      <c r="F40" s="24" t="s">
        <v>2543</v>
      </c>
      <c r="G40" s="24">
        <v>22</v>
      </c>
      <c r="H40" s="24"/>
      <c r="I40" s="24" t="s">
        <v>1396</v>
      </c>
    </row>
    <row ht="15" r="41">
      <c r="B41" s="26" t="str">
        <f>VLOOKUP("Australia",T,lang,0)</f>
        <v>Australia</v>
      </c>
      <c r="C41" s="28">
        <v>747</v>
      </c>
      <c r="D41" s="9"/>
      <c r="F41" s="24" t="s">
        <v>2544</v>
      </c>
      <c r="G41" s="24">
        <v>23</v>
      </c>
      <c r="H41" s="24"/>
      <c r="I41" s="24" t="s">
        <v>1960</v>
      </c>
    </row>
    <row ht="15" r="42">
      <c r="B42" s="26" t="str">
        <f>VLOOKUP("Morocco",T,lang,0)</f>
        <v>Marruecos</v>
      </c>
      <c r="C42" s="28">
        <v>738</v>
      </c>
      <c r="D42" s="9"/>
      <c r="F42" s="24"/>
      <c r="G42" s="24"/>
      <c r="H42" s="24"/>
      <c r="I42" s="24" t="s">
        <v>1665</v>
      </c>
    </row>
    <row ht="15" r="43">
      <c r="B43" s="26" t="str">
        <f>VLOOKUP("Nigeria",T,lang,0)</f>
        <v>Nigeria</v>
      </c>
      <c r="C43" s="28">
        <v>640</v>
      </c>
      <c r="D43" s="9"/>
      <c r="F43" s="24" t="s">
        <v>2518</v>
      </c>
      <c r="G43" s="24">
        <v>0</v>
      </c>
      <c r="H43" s="24"/>
      <c r="I43" s="24" t="s">
        <v>1350</v>
      </c>
    </row>
    <row ht="15" r="44">
      <c r="B44" s="26" t="str">
        <f>VLOOKUP("Panama",T,lang,0)</f>
        <v>Panamá</v>
      </c>
      <c r="C44" s="28">
        <v>621</v>
      </c>
      <c r="D44" s="9"/>
      <c r="F44" s="24" t="s">
        <v>2545</v>
      </c>
      <c r="G44" s="24">
        <v>15</v>
      </c>
      <c r="H44" s="24"/>
      <c r="I44" s="24" t="s">
        <v>1873</v>
      </c>
    </row>
    <row ht="15" r="45">
      <c r="B45" s="26" t="str">
        <f>VLOOKUP("Japan",T,lang,0)</f>
        <v>Japón</v>
      </c>
      <c r="C45" s="28">
        <v>600</v>
      </c>
      <c r="D45" s="9"/>
      <c r="F45" s="24" t="s">
        <v>2546</v>
      </c>
      <c r="G45" s="24">
        <v>30</v>
      </c>
      <c r="H45" s="24"/>
      <c r="I45" s="24" t="s">
        <v>1552</v>
      </c>
    </row>
    <row ht="15" r="46">
      <c r="B46" s="26" t="str">
        <f>VLOOKUP("Korea Republic",T,lang,0)</f>
        <v xml:space="preserve">República de Corea</v>
      </c>
      <c r="C46" s="28">
        <v>570</v>
      </c>
      <c r="D46" s="9"/>
      <c r="F46" s="24" t="s">
        <v>2547</v>
      </c>
      <c r="G46" s="24">
        <v>45</v>
      </c>
      <c r="H46" s="24"/>
      <c r="I46" s="24" t="s">
        <v>1909</v>
      </c>
    </row>
    <row ht="15" r="47">
      <c r="B47" s="26" t="str">
        <f>VLOOKUP("Saudi Arabia",T,lang,0)</f>
        <v xml:space="preserve">Arabia Saudita</v>
      </c>
      <c r="C47" s="28">
        <v>543</v>
      </c>
      <c r="D47" s="9"/>
      <c r="F47" s="24"/>
      <c r="G47" s="24"/>
      <c r="H47" s="24"/>
      <c r="I47" s="24" t="s">
        <v>1684</v>
      </c>
    </row>
    <row ht="15" r="48">
      <c r="B48" s="26" t="str">
        <f>VLOOKUP("Russia",T,lang,0)</f>
        <v>Rusia</v>
      </c>
      <c r="C48" s="29">
        <v>534</v>
      </c>
      <c r="D48" s="9"/>
      <c r="F48" s="24" t="s">
        <v>2548</v>
      </c>
      <c r="G48" s="24">
        <f>IF(G4="Type 2",0,1)</f>
        <v>1</v>
      </c>
      <c r="H48" s="24"/>
      <c r="I48" s="24" t="s">
        <v>1145</v>
      </c>
    </row>
    <row ht="15" r="49">
      <c r="B49" s="18"/>
      <c r="C49" s="19"/>
      <c r="D49" s="20"/>
    </row>
  </sheetData>
  <printOptions headings="0" gridLines="1" gridLinesSet="1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1" workbookViewId="0" zoomScale="100">
      <selection activeCell="BM18" activeCellId="0" sqref="BM18"/>
    </sheetView>
  </sheetViews>
  <sheetFormatPr defaultRowHeight="15"/>
  <cols>
    <col customWidth="1" hidden="0" min="1" max="1" style="30" width="4.8499999999999996"/>
    <col customWidth="1" hidden="0" min="2" max="2" style="30" width="6.1399999999999997"/>
    <col customWidth="1" hidden="0" min="3" max="3" style="30" width="11.710000000000001"/>
    <col customWidth="1" hidden="0" min="4" max="4" style="31" width="7.2800000000000002"/>
    <col customWidth="1" min="5" max="5" style="32" width="37.7109375"/>
    <col customWidth="1" hidden="0" min="6" max="7" style="33" width="4.2800000000000002"/>
    <col customWidth="1" min="8" max="8" style="34" width="39.8515625"/>
    <col customWidth="1" hidden="0" min="9" max="9" style="35" width="3.4300000000000002"/>
    <col customWidth="1" hidden="0" min="10" max="10" style="36" width="14"/>
    <col customWidth="1" hidden="0" min="11" max="14" style="37" width="5.4299999999999997"/>
    <col customWidth="1" hidden="0" min="15" max="15" style="37" width="7.7000000000000002"/>
    <col customWidth="1" hidden="0" min="16" max="16" style="37" width="6.7000000000000002"/>
    <col customWidth="1" hidden="0" min="17" max="17" style="38" width="3.4300000000000002"/>
    <col customWidth="1" hidden="1" min="18" max="18" style="39" width="15.43"/>
    <col customWidth="1" hidden="1" min="19" max="20" style="40" width="16"/>
    <col customWidth="1" hidden="1" min="21" max="21" style="41" width="5"/>
    <col customWidth="1" hidden="1" min="22" max="25" style="39" width="6.1399999999999997"/>
    <col customWidth="1" hidden="1" min="26" max="26" style="41" width="4.2800000000000002"/>
    <col customWidth="1" hidden="1" min="27" max="27" style="39" width="5.4299999999999997"/>
    <col customWidth="1" hidden="1" min="28" max="28" style="41" width="13.43"/>
    <col customWidth="1" hidden="1" min="29" max="33" style="39" width="5.4299999999999997"/>
    <col customWidth="1" hidden="1" min="34" max="36" style="39" width="6"/>
    <col customWidth="1" hidden="1" min="37" max="37" style="39" width="5.4299999999999997"/>
    <col customWidth="1" hidden="1" min="38" max="38" style="39" width="6"/>
    <col customWidth="1" hidden="1" min="39" max="39" style="41" width="7.1399999999999997"/>
    <col customWidth="1" hidden="1" min="40" max="40" style="41" width="10"/>
    <col customWidth="1" hidden="1" min="41" max="41" style="41" width="15.279999999999999"/>
    <col customWidth="1" hidden="1" min="42" max="46" style="39" width="4.7000000000000002"/>
    <col customWidth="1" hidden="1" min="47" max="49" style="41" width="9.1400000000000006"/>
    <col customWidth="1" hidden="1" min="50" max="50" style="42" width="9.1400000000000006"/>
    <col customWidth="1" hidden="0" min="51" max="51" style="35" width="3.2799999999999998"/>
    <col customWidth="1" hidden="0" min="52" max="52" style="35" width="19.710000000000001"/>
    <col customWidth="1" hidden="0" min="53" max="54" style="35" width="3"/>
    <col customWidth="1" hidden="0" min="55" max="56" style="35" width="2"/>
    <col customWidth="1" hidden="0" min="57" max="57" style="35" width="3.2799999999999998"/>
    <col customWidth="1" hidden="0" min="58" max="58" style="35" width="19.710000000000001"/>
    <col customWidth="1" hidden="0" min="59" max="60" style="35" width="3"/>
    <col customWidth="1" hidden="0" min="61" max="62" style="35" width="2"/>
    <col customWidth="1" hidden="0" min="63" max="63" style="35" width="3.2799999999999998"/>
    <col bestFit="1" customWidth="1" min="64" max="64" style="35" width="9.00390625"/>
    <col customWidth="1" hidden="0" min="65" max="66" style="35" width="3"/>
    <col customWidth="1" hidden="0" min="67" max="68" style="35" width="2"/>
    <col customWidth="1" hidden="0" min="69" max="69" style="35" width="3.2799999999999998"/>
    <col customWidth="1" hidden="0" min="70" max="70" style="35" width="19.710000000000001"/>
    <col customWidth="1" hidden="0" min="71" max="72" style="35" width="3"/>
    <col customWidth="1" hidden="0" min="73" max="1025" style="35" width="9.1400000000000006"/>
  </cols>
  <sheetData>
    <row ht="45" r="1">
      <c r="A1" s="43" t="str">
        <f>INDEX(T,2,lang)</f>
        <v xml:space="preserve">Copa Mundial de Fútbol - Brasil 2018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S1" s="39"/>
      <c r="T1" s="39"/>
      <c r="U1" s="39"/>
      <c r="Z1" s="39"/>
      <c r="AB1" s="39"/>
      <c r="AD1" s="41"/>
      <c r="AE1" s="41"/>
      <c r="AF1" s="41"/>
      <c r="AG1" s="39"/>
      <c r="AH1" s="39"/>
      <c r="AI1" s="39"/>
      <c r="AJ1" s="39"/>
      <c r="AK1" s="39"/>
      <c r="AL1" s="41"/>
      <c r="AM1" s="41"/>
      <c r="AN1" s="41"/>
      <c r="AP1" s="41"/>
      <c r="AQ1" s="41"/>
      <c r="AR1" s="41"/>
      <c r="AS1" s="41"/>
      <c r="AT1" s="41"/>
    </row>
    <row ht="3" customHeight="1" r="2">
      <c r="S2" s="39"/>
      <c r="T2" s="39"/>
      <c r="U2" s="39"/>
      <c r="Z2" s="39"/>
      <c r="AB2" s="39"/>
      <c r="AD2" s="41"/>
      <c r="AE2" s="41"/>
      <c r="AF2" s="41"/>
      <c r="AG2" s="39"/>
      <c r="AH2" s="39"/>
      <c r="AI2" s="39"/>
      <c r="AJ2" s="39"/>
      <c r="AK2" s="39"/>
      <c r="AL2" s="41"/>
      <c r="AM2" s="41"/>
      <c r="AN2" s="41"/>
      <c r="AP2" s="41"/>
      <c r="AQ2" s="41"/>
      <c r="AR2" s="41"/>
      <c r="AS2" s="41"/>
      <c r="AT2" s="41"/>
    </row>
    <row ht="12.75" customHeight="1" r="3">
      <c r="O3" s="44" t="str">
        <f>"Language: " &amp; Settings!C4</f>
        <v xml:space="preserve">Language: Spanish</v>
      </c>
      <c r="P3" s="44"/>
      <c r="S3" s="39"/>
      <c r="T3" s="39"/>
      <c r="U3" s="39"/>
      <c r="Z3" s="39"/>
      <c r="AB3" s="39"/>
      <c r="AD3" s="41"/>
      <c r="AE3" s="41"/>
      <c r="AF3" s="41"/>
      <c r="AG3" s="39"/>
      <c r="AH3" s="39"/>
      <c r="AI3" s="39"/>
      <c r="AJ3" s="39"/>
      <c r="AK3" s="39"/>
      <c r="AL3" s="41"/>
      <c r="AM3" s="41"/>
      <c r="AN3" s="41"/>
      <c r="AP3" s="41"/>
      <c r="AQ3" s="41"/>
      <c r="AR3" s="41"/>
      <c r="AS3" s="41"/>
      <c r="AT3" s="41"/>
    </row>
    <row ht="3" customHeight="1" r="4"/>
    <row ht="15" customHeight="1" r="5">
      <c r="A5" s="45" t="str">
        <f>INDEX(T,3,lang)</f>
        <v xml:space="preserve">Fase de grupos</v>
      </c>
      <c r="B5" s="45"/>
      <c r="C5" s="45"/>
      <c r="D5" s="45"/>
      <c r="E5" s="45"/>
      <c r="F5" s="45"/>
      <c r="G5" s="45"/>
      <c r="H5" s="45"/>
      <c r="J5" s="46" t="s">
        <v>2550</v>
      </c>
      <c r="K5" s="46"/>
      <c r="L5" s="46"/>
      <c r="M5" s="46"/>
      <c r="N5" s="46"/>
      <c r="O5" s="46"/>
      <c r="P5" s="46"/>
    </row>
    <row ht="15" customHeight="1" r="6">
      <c r="A6" s="45"/>
      <c r="B6" s="45"/>
      <c r="C6" s="45"/>
      <c r="D6" s="45"/>
      <c r="E6" s="45"/>
      <c r="F6" s="45"/>
      <c r="G6" s="45"/>
      <c r="H6" s="45"/>
      <c r="J6" s="46"/>
      <c r="K6" s="46"/>
      <c r="L6" s="46"/>
      <c r="M6" s="46"/>
      <c r="N6" s="46"/>
      <c r="O6" s="46"/>
      <c r="P6" s="46"/>
      <c r="R6" s="39" t="s">
        <v>2551</v>
      </c>
      <c r="V6" s="39" t="s">
        <v>2552</v>
      </c>
      <c r="W6" s="39" t="s">
        <v>2553</v>
      </c>
      <c r="AA6" s="39" t="s">
        <v>2554</v>
      </c>
      <c r="AB6" s="39" t="s">
        <v>1046</v>
      </c>
      <c r="AC6" s="39" t="s">
        <v>379</v>
      </c>
      <c r="AD6" s="39" t="s">
        <v>416</v>
      </c>
      <c r="AE6" s="39" t="s">
        <v>349</v>
      </c>
      <c r="AF6" s="39" t="s">
        <v>2552</v>
      </c>
      <c r="AG6" s="39" t="s">
        <v>2553</v>
      </c>
      <c r="AH6" s="39" t="s">
        <v>2555</v>
      </c>
      <c r="AI6" s="39" t="s">
        <v>2555</v>
      </c>
      <c r="AK6" s="39" t="s">
        <v>2556</v>
      </c>
      <c r="AL6" s="39" t="s">
        <v>395</v>
      </c>
      <c r="AM6" s="39" t="s">
        <v>2557</v>
      </c>
      <c r="AN6" s="39" t="s">
        <v>2558</v>
      </c>
      <c r="AP6" s="39" t="s">
        <v>379</v>
      </c>
      <c r="AQ6" s="39" t="s">
        <v>416</v>
      </c>
      <c r="AR6" s="39" t="s">
        <v>2552</v>
      </c>
      <c r="AS6" s="39" t="s">
        <v>2553</v>
      </c>
      <c r="AT6" s="39" t="s">
        <v>2559</v>
      </c>
      <c r="AY6" s="47" t="str">
        <f>INDEX(T,4,lang)</f>
        <v xml:space="preserve">Octavos de final</v>
      </c>
      <c r="AZ6" s="47"/>
      <c r="BA6" s="47"/>
      <c r="BB6" s="47"/>
      <c r="BE6" s="47" t="str">
        <f>INDEX(T,5,lang)</f>
        <v xml:space="preserve">Cuartos de Final</v>
      </c>
      <c r="BF6" s="47"/>
      <c r="BG6" s="47"/>
      <c r="BH6" s="47"/>
      <c r="BK6" s="47" t="str">
        <f>INDEX(T,6,lang)</f>
        <v>Semifinales</v>
      </c>
      <c r="BL6" s="47"/>
      <c r="BM6" s="47"/>
      <c r="BN6" s="47"/>
      <c r="BQ6" s="47" t="str">
        <f>INDEX(T,8,lang)</f>
        <v>Final</v>
      </c>
      <c r="BR6" s="47"/>
      <c r="BS6" s="47"/>
      <c r="BT6" s="47"/>
    </row>
    <row ht="15" customHeight="1" r="7">
      <c r="A7" s="48">
        <v>1</v>
      </c>
      <c r="B7" s="49" t="str">
        <f>INDEX(T,18+INT(MOD(R7-1,7)),lang)</f>
        <v>Thu</v>
      </c>
      <c r="C7" s="50" t="str">
        <f>INDEX(T,24+MONTH(R7),lang) &amp; " " &amp; DAY(R7) &amp; ", " &amp; YEAR(R7)</f>
        <v xml:space="preserve">Jun 14, 2018</v>
      </c>
      <c r="D7" s="51">
        <f>TIME(HOUR(R7),MINUTE(R7),0)</f>
        <v>0.45833333333333298</v>
      </c>
      <c r="E7" s="52" t="str">
        <f>AB8</f>
        <v>Rusia</v>
      </c>
      <c r="F7" s="53">
        <v>5</v>
      </c>
      <c r="G7" s="54">
        <v>0</v>
      </c>
      <c r="H7" s="55" t="str">
        <f>AB9</f>
        <v xml:space="preserve">Arabia Saudita</v>
      </c>
      <c r="R7" s="39">
        <f>DATE(2018,6,14)+TIME(4,0,0)+gmt_delta</f>
        <v>43265.458333333299</v>
      </c>
      <c r="S7" s="40" t="str">
        <f>IF(OR(F7="",G7=""),"",IF(F7&gt;G7,E7&amp;"_win",IF(F7&lt;G7,E7&amp;"_lose",E7&amp;"_draw")))</f>
        <v>Rusia_win</v>
      </c>
      <c r="T7" s="40" t="str">
        <f>IF(S7="","",IF(F7&lt;G7,H7&amp;"_win",IF(F7&gt;G7,H7&amp;"_lose",H7&amp;"_draw")))</f>
        <v xml:space="preserve">Arabia Saudita_lose</v>
      </c>
      <c r="U7" s="41">
        <f>IF(S7="",0,IF(VLOOKUP(E7,$AB$8:$AK$53,7,0)=VLOOKUP(H7,$AB$8:$AK$53,7,0),1,0))</f>
        <v>0</v>
      </c>
      <c r="V7" s="39">
        <f>U7*F7</f>
        <v>0</v>
      </c>
      <c r="W7" s="39">
        <f>U7*G7</f>
        <v>0</v>
      </c>
      <c r="X7" s="39">
        <f>IF(OR(E7=my_team,H7=my_team),1,0)</f>
        <v>0</v>
      </c>
      <c r="Y7" s="39">
        <f>IF(OR(F7="",G7=""),"",IF(F7&gt;G7,1,IF(F7&lt;G7,-1,0)))</f>
        <v>1</v>
      </c>
      <c r="AY7" s="47"/>
      <c r="AZ7" s="47"/>
      <c r="BA7" s="47"/>
      <c r="BB7" s="47"/>
      <c r="BE7" s="47"/>
      <c r="BF7" s="47"/>
      <c r="BG7" s="47"/>
      <c r="BH7" s="47"/>
      <c r="BK7" s="47"/>
      <c r="BL7" s="47"/>
      <c r="BM7" s="47"/>
      <c r="BN7" s="47"/>
      <c r="BQ7" s="47"/>
      <c r="BR7" s="47"/>
      <c r="BS7" s="47"/>
      <c r="BT7" s="47"/>
    </row>
    <row ht="15" customHeight="1" r="8">
      <c r="A8" s="56">
        <v>2</v>
      </c>
      <c r="B8" s="57" t="str">
        <f>INDEX(T,18+INT(MOD(R8-1,7)),lang)</f>
        <v>Fri</v>
      </c>
      <c r="C8" s="58" t="str">
        <f>INDEX(T,24+MONTH(R8),lang) &amp; " " &amp; DAY(R8) &amp; ", " &amp; YEAR(R8)</f>
        <v xml:space="preserve">Jun 15, 2018</v>
      </c>
      <c r="D8" s="59">
        <f>TIME(HOUR(R8),MINUTE(R8),0)</f>
        <v>0.33333333333333298</v>
      </c>
      <c r="E8" s="60" t="str">
        <f>AB10</f>
        <v>Egipto</v>
      </c>
      <c r="F8" s="61">
        <v>0</v>
      </c>
      <c r="G8" s="62">
        <v>1</v>
      </c>
      <c r="H8" s="63" t="str">
        <f>AB11</f>
        <v>Uruguay</v>
      </c>
      <c r="J8" s="64" t="str">
        <f>INDEX(T,9,lang) &amp; " " &amp; "A"</f>
        <v xml:space="preserve">Grupo A</v>
      </c>
      <c r="K8" s="65" t="str">
        <f>INDEX(T,10,lang)</f>
        <v>J</v>
      </c>
      <c r="L8" s="65" t="str">
        <f>INDEX(T,11,lang)</f>
        <v>G</v>
      </c>
      <c r="M8" s="65" t="str">
        <f>INDEX(T,12,lang)</f>
        <v>DRAW</v>
      </c>
      <c r="N8" s="65" t="str">
        <f>INDEX(T,13,lang)</f>
        <v>P</v>
      </c>
      <c r="O8" s="65" t="str">
        <f>INDEX(T,14,lang)</f>
        <v xml:space="preserve">GF - GC</v>
      </c>
      <c r="P8" s="66" t="str">
        <f>INDEX(T,15,lang)</f>
        <v>PTS</v>
      </c>
      <c r="R8" s="39">
        <f>DATE(2018,6,15)+TIME(1,0,0)+gmt_delta</f>
        <v>43266.333333333299</v>
      </c>
      <c r="S8" s="40" t="str">
        <f>IF(OR(F8="",G8=""),"",IF(F8&gt;G8,E8&amp;"_win",IF(F8&lt;G8,E8&amp;"_lose",E8&amp;"_draw")))</f>
        <v>Egipto_lose</v>
      </c>
      <c r="T8" s="40" t="str">
        <f>IF(S8="","",IF(F8&lt;G8,H8&amp;"_win",IF(F8&gt;G8,H8&amp;"_lose",H8&amp;"_draw")))</f>
        <v>Uruguay_win</v>
      </c>
      <c r="U8" s="41">
        <f>IF(S8="",0,IF(VLOOKUP(E8,$AB$8:$AK$53,7,0)=VLOOKUP(H8,$AB$8:$AK$53,7,0),1,0))</f>
        <v>0</v>
      </c>
      <c r="V8" s="39">
        <f>U8*F8</f>
        <v>0</v>
      </c>
      <c r="W8" s="39">
        <f>U8*G8</f>
        <v>0</v>
      </c>
      <c r="X8" s="39">
        <f>IF(OR(E8=my_team,H8=my_team),1,0)</f>
        <v>0</v>
      </c>
      <c r="Y8" s="39">
        <f>IF(OR(F8="",G8=""),"",IF(F8&gt;G8,1,IF(F8&lt;G8,-1,0)))</f>
        <v>-1</v>
      </c>
      <c r="AA8" s="39">
        <f>COUNTIF(AN8:AN11,CONCATENATE("&gt;=",AN8))</f>
        <v>2</v>
      </c>
      <c r="AB8" s="41" t="str">
        <f>VLOOKUP("Russia",T,lang,0)</f>
        <v>Rusia</v>
      </c>
      <c r="AC8" s="39">
        <f>COUNTIF($S$7:$T$54,"=" &amp; AB8 &amp; "_win")</f>
        <v>2</v>
      </c>
      <c r="AD8" s="39">
        <f>COUNTIF($S$7:$T$54,"=" &amp; AB8 &amp; "_draw")</f>
        <v>0</v>
      </c>
      <c r="AE8" s="39">
        <f>COUNTIF($S$7:$T$54,"=" &amp; AB8 &amp; "_lose")</f>
        <v>1</v>
      </c>
      <c r="AF8" s="39">
        <f>SUMIF($E$7:$E$54,$AB8,$F$7:$F$54) + SUMIF($H$7:$H$54,$AB8,$G$7:$G$54)</f>
        <v>8</v>
      </c>
      <c r="AG8" s="39">
        <f>SUMIF($E$7:$E$54,$AB8,$G$7:$G$54) + SUMIF($H$7:$H$54,$AB8,$F$7:$F$54)</f>
        <v>4</v>
      </c>
      <c r="AH8" s="39">
        <f>(AF8-AG8)+1</f>
        <v>5</v>
      </c>
      <c r="AI8" s="39">
        <f>AF8-AG8</f>
        <v>4</v>
      </c>
      <c r="AJ8" s="39">
        <f>(AI8-AI13)/AI12</f>
        <v>0.81818181818181801</v>
      </c>
      <c r="AK8" s="39">
        <f>AC8*3+AD8</f>
        <v>6</v>
      </c>
      <c r="AL8" s="39">
        <f>AP8/AP12*1000+AQ8/AQ12*100+AT8/AT12*10+AR8/AR12</f>
        <v>0</v>
      </c>
      <c r="AM8" s="39">
        <f>VLOOKUP(AB8,db_fifarank,2,0)/2000000</f>
        <v>0.00026699999999999998</v>
      </c>
      <c r="AN8" s="41">
        <f>1000*AK8/AK12+100*AJ8+10*AF8/AF12+1*AL8/AL12+AM8</f>
        <v>693.24702024675298</v>
      </c>
      <c r="AO8" s="41" t="str">
        <f>IF(SUM(AC8:AE11)=12,J9,INDEX(T,70,lang))</f>
        <v>Uruguay</v>
      </c>
      <c r="AP8" s="39">
        <f>SUMPRODUCT(($S$7:$S$54=AB8&amp;"_win")*($U$7:$U$54))+SUMPRODUCT(($T$7:$T$54=AB8&amp;"_win")*($U$7:$U$54))</f>
        <v>0</v>
      </c>
      <c r="AQ8" s="39">
        <f>SUMPRODUCT(($S$7:$S$54=AB8&amp;"_draw")*($U$7:$U$54))+SUMPRODUCT(($T$7:$T$54=AB8&amp;"_draw")*($U$7:$U$54))</f>
        <v>0</v>
      </c>
      <c r="AR8" s="39">
        <f>SUMPRODUCT(($E$7:$E$54=AB8)*($U$7:$U$54)*($F$7:$F$54))+SUMPRODUCT(($H$7:$H$54=AB8)*($U$7:$U$54)*($G$7:$G$54))</f>
        <v>0</v>
      </c>
      <c r="AS8" s="39">
        <f>SUMPRODUCT(($E$7:$E$54=AB8)*($U$7:$U$54)*($G$7:$G$54))+SUMPRODUCT(($H$7:$H$54=AB8)*($U$7:$U$54)*($F$7:$F$54))</f>
        <v>0</v>
      </c>
      <c r="AT8" s="39">
        <f>AR8-AS8</f>
        <v>0</v>
      </c>
      <c r="BF8" s="67"/>
      <c r="BG8" s="67"/>
      <c r="BL8" s="67"/>
      <c r="BM8" s="67"/>
      <c r="BN8" s="67"/>
      <c r="BO8" s="67"/>
      <c r="BP8" s="67"/>
      <c r="BQ8" s="67"/>
      <c r="BR8" s="67"/>
      <c r="BS8" s="67"/>
      <c r="BT8" s="67"/>
    </row>
    <row ht="15" customHeight="1" r="9">
      <c r="A9" s="56">
        <v>3</v>
      </c>
      <c r="B9" s="57" t="str">
        <f>INDEX(T,18+INT(MOD(R9-1,7)),lang)</f>
        <v>Fri</v>
      </c>
      <c r="C9" s="58" t="str">
        <f>INDEX(T,24+MONTH(R9),lang) &amp; " " &amp; DAY(R9) &amp; ", " &amp; YEAR(R9)</f>
        <v xml:space="preserve">Jun 15, 2018</v>
      </c>
      <c r="D9" s="59">
        <f>TIME(HOUR(R9),MINUTE(R9),0)</f>
        <v>0.58333333333333304</v>
      </c>
      <c r="E9" s="60" t="str">
        <f>AB14</f>
        <v>Portugal</v>
      </c>
      <c r="F9" s="61">
        <v>3</v>
      </c>
      <c r="G9" s="62">
        <v>3</v>
      </c>
      <c r="H9" s="63" t="str">
        <f>AB15</f>
        <v>España</v>
      </c>
      <c r="J9" s="68" t="str">
        <f>VLOOKUP(1,AA8:AK11,2,0)</f>
        <v>Uruguay</v>
      </c>
      <c r="K9" s="69">
        <f>L9+M9+N9</f>
        <v>3</v>
      </c>
      <c r="L9" s="69">
        <f>VLOOKUP(1,AA8:AK11,3,0)</f>
        <v>3</v>
      </c>
      <c r="M9" s="69">
        <f>VLOOKUP(1,AA8:AK11,4,0)</f>
        <v>0</v>
      </c>
      <c r="N9" s="69">
        <f>VLOOKUP(1,AA8:AK11,5,0)</f>
        <v>0</v>
      </c>
      <c r="O9" s="69" t="str">
        <f>VLOOKUP(1,AA8:AK11,6,0) &amp; " - " &amp; VLOOKUP(1,AA8:AK11,7,0)</f>
        <v xml:space="preserve">5 - 0</v>
      </c>
      <c r="P9" s="70">
        <f>L9*3+M9</f>
        <v>9</v>
      </c>
      <c r="R9" s="39">
        <f>DATE(2018,6,15)+TIME(7,0,0)+gmt_delta</f>
        <v>43266.583333333299</v>
      </c>
      <c r="S9" s="40" t="str">
        <f>IF(OR(F9="",G9=""),"",IF(F9&gt;G9,E9&amp;"_win",IF(F9&lt;G9,E9&amp;"_lose",E9&amp;"_draw")))</f>
        <v>Portugal_draw</v>
      </c>
      <c r="T9" s="40" t="str">
        <f>IF(S9="","",IF(F9&lt;G9,H9&amp;"_win",IF(F9&gt;G9,H9&amp;"_lose",H9&amp;"_draw")))</f>
        <v>España_draw</v>
      </c>
      <c r="U9" s="41">
        <f>IF(S9="",0,IF(VLOOKUP(E9,$AB$8:$AK$53,7,0)=VLOOKUP(H9,$AB$8:$AK$53,7,0),1,0))</f>
        <v>0</v>
      </c>
      <c r="V9" s="39">
        <f>U9*F9</f>
        <v>0</v>
      </c>
      <c r="W9" s="39">
        <f>U9*G9</f>
        <v>0</v>
      </c>
      <c r="X9" s="39">
        <f>IF(OR(E9=my_team,H9=my_team),1,0)</f>
        <v>0</v>
      </c>
      <c r="Y9" s="39">
        <f>IF(OR(F9="",G9=""),"",IF(F9&gt;G9,1,IF(F9&lt;G9,-1,0)))</f>
        <v>0</v>
      </c>
      <c r="AA9" s="39">
        <f>COUNTIF(AN8:AN11,CONCATENATE("&gt;=",AN9))</f>
        <v>3</v>
      </c>
      <c r="AB9" s="41" t="str">
        <f>VLOOKUP("Saudi Arabia",T,lang,0)</f>
        <v xml:space="preserve">Arabia Saudita</v>
      </c>
      <c r="AC9" s="39">
        <f>COUNTIF($S$7:$T$54,"=" &amp; AB9 &amp; "_win")</f>
        <v>1</v>
      </c>
      <c r="AD9" s="39">
        <f>COUNTIF($S$7:$T$54,"=" &amp; AB9 &amp; "_draw")</f>
        <v>0</v>
      </c>
      <c r="AE9" s="39">
        <f>COUNTIF($S$7:$T$54,"=" &amp; AB9 &amp; "_lose")</f>
        <v>2</v>
      </c>
      <c r="AF9" s="39">
        <f>SUMIF($E$7:$E$54,$AB9,$F$7:$F$54) + SUMIF($H$7:$H$54,$AB9,$G$7:$G$54)</f>
        <v>2</v>
      </c>
      <c r="AG9" s="39">
        <f>SUMIF($E$7:$E$54,$AB9,$G$7:$G$54) + SUMIF($H$7:$H$54,$AB9,$F$7:$F$54)</f>
        <v>7</v>
      </c>
      <c r="AH9" s="39">
        <f>(AF9-AG9)+1</f>
        <v>-4</v>
      </c>
      <c r="AI9" s="39">
        <f>AF9-AG9</f>
        <v>-5</v>
      </c>
      <c r="AJ9" s="39">
        <f>(AI9-AI13)/AI12</f>
        <v>0</v>
      </c>
      <c r="AK9" s="39">
        <f>AC9*3+AD9</f>
        <v>3</v>
      </c>
      <c r="AL9" s="39">
        <f>AP9/AP12*1000+AQ9/AQ12*100+AT9/AT12*10+AR9/AR12</f>
        <v>0</v>
      </c>
      <c r="AM9" s="39">
        <f>VLOOKUP(AB9,db_fifarank,2,0)/2000000</f>
        <v>0.00027149999999999999</v>
      </c>
      <c r="AN9" s="41">
        <f>1000*AK9/AK12+100*AJ9+10*AF9/AF12+1*AL9/AL12+AM9</f>
        <v>302.857414357143</v>
      </c>
      <c r="AO9" s="41" t="str">
        <f>IF(SUM(AC8:AE11)=12,J10,INDEX(T,71,lang))</f>
        <v>Rusia</v>
      </c>
      <c r="AP9" s="39">
        <f>SUMPRODUCT(($S$7:$S$54=AB9&amp;"_win")*($U$7:$U$54))+SUMPRODUCT(($T$7:$T$54=AB9&amp;"_win")*($U$7:$U$54))</f>
        <v>0</v>
      </c>
      <c r="AQ9" s="39">
        <f>SUMPRODUCT(($S$7:$S$54=AB9&amp;"_draw")*($U$7:$U$54))+SUMPRODUCT(($T$7:$T$54=AB9&amp;"_draw")*($U$7:$U$54))</f>
        <v>0</v>
      </c>
      <c r="AR9" s="39">
        <f>SUMPRODUCT(($E$7:$E$54=AB9)*($U$7:$U$54)*($F$7:$F$54))+SUMPRODUCT(($H$7:$H$54=AB9)*($U$7:$U$54)*($G$7:$G$54))</f>
        <v>0</v>
      </c>
      <c r="AS9" s="39">
        <f>SUMPRODUCT(($E$7:$E$54=AB9)*($U$7:$U$54)*($G$7:$G$54))+SUMPRODUCT(($H$7:$H$54=AB9)*($U$7:$U$54)*($F$7:$F$54))</f>
        <v>0</v>
      </c>
      <c r="AT9" s="39">
        <f>AR9-AS9</f>
        <v>0</v>
      </c>
      <c r="AY9" s="67" t="str">
        <f>INDEX(T,24+MONTH(R58),lang) &amp; " " &amp; DAY(R58) &amp; ", " &amp; YEAR(R58) &amp; "   " &amp; TEXT(TIME(HOUR(R58),MINUTE(R58),0),"hh:mm")</f>
        <v xml:space="preserve">Jun 30, 2018   14:00</v>
      </c>
      <c r="AZ9" s="67"/>
      <c r="BA9" s="67"/>
      <c r="BB9" s="71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</row>
    <row ht="15" customHeight="1" r="10">
      <c r="A10" s="56">
        <v>4</v>
      </c>
      <c r="B10" s="57" t="str">
        <f>INDEX(T,18+INT(MOD(R10-1,7)),lang)</f>
        <v>Fri</v>
      </c>
      <c r="C10" s="58" t="str">
        <f>INDEX(T,24+MONTH(R10),lang) &amp; " " &amp; DAY(R10) &amp; ", " &amp; YEAR(R10)</f>
        <v xml:space="preserve">Jun 15, 2018</v>
      </c>
      <c r="D10" s="59">
        <f>TIME(HOUR(R10),MINUTE(R10),0)</f>
        <v>0.45833333333333298</v>
      </c>
      <c r="E10" s="60" t="str">
        <f>AB16</f>
        <v>Marruecos</v>
      </c>
      <c r="F10" s="61">
        <v>0</v>
      </c>
      <c r="G10" s="62">
        <v>1</v>
      </c>
      <c r="H10" s="63" t="str">
        <f>AB17</f>
        <v>Irán</v>
      </c>
      <c r="J10" s="72" t="str">
        <f>VLOOKUP(2,AA8:AK11,2,0)</f>
        <v>Rusia</v>
      </c>
      <c r="K10" s="73">
        <f>L10+M10+N10</f>
        <v>3</v>
      </c>
      <c r="L10" s="73">
        <f>VLOOKUP(2,AA8:AK11,3,0)</f>
        <v>2</v>
      </c>
      <c r="M10" s="73">
        <f>VLOOKUP(2,AA8:AK11,4,0)</f>
        <v>0</v>
      </c>
      <c r="N10" s="73">
        <f>VLOOKUP(2,AA8:AK11,5,0)</f>
        <v>1</v>
      </c>
      <c r="O10" s="73" t="str">
        <f>VLOOKUP(2,AA8:AK11,6,0) &amp; " - " &amp; VLOOKUP(2,AA8:AK11,7,0)</f>
        <v xml:space="preserve">8 - 4</v>
      </c>
      <c r="P10" s="74">
        <f>L10*3+M10</f>
        <v>6</v>
      </c>
      <c r="R10" s="39">
        <f>DATE(2018,6,15)+TIME(4,0,0)+gmt_delta</f>
        <v>43266.458333333299</v>
      </c>
      <c r="S10" s="40" t="str">
        <f>IF(OR(F10="",G10=""),"",IF(F10&gt;G10,E10&amp;"_win",IF(F10&lt;G10,E10&amp;"_lose",E10&amp;"_draw")))</f>
        <v>Marruecos_lose</v>
      </c>
      <c r="T10" s="40" t="str">
        <f>IF(S10="","",IF(F10&lt;G10,H10&amp;"_win",IF(F10&gt;G10,H10&amp;"_lose",H10&amp;"_draw")))</f>
        <v>Irán_win</v>
      </c>
      <c r="U10" s="41">
        <f>IF(S10="",0,IF(VLOOKUP(E10,$AB$8:$AK$53,7,0)=VLOOKUP(H10,$AB$8:$AK$53,7,0),1,0))</f>
        <v>0</v>
      </c>
      <c r="V10" s="39">
        <f>U10*F10</f>
        <v>0</v>
      </c>
      <c r="W10" s="39">
        <f>U10*G10</f>
        <v>0</v>
      </c>
      <c r="X10" s="39">
        <f>IF(OR(E10=my_team,H10=my_team),1,0)</f>
        <v>0</v>
      </c>
      <c r="Y10" s="39">
        <f>IF(OR(F10="",G10=""),"",IF(F10&gt;G10,1,IF(F10&lt;G10,-1,0)))</f>
        <v>-1</v>
      </c>
      <c r="AA10" s="39">
        <f>COUNTIF(AN8:AN11,CONCATENATE("&gt;=",AN10))</f>
        <v>4</v>
      </c>
      <c r="AB10" s="41" t="str">
        <f>VLOOKUP("Egypt",T,lang,0)</f>
        <v>Egipto</v>
      </c>
      <c r="AC10" s="39">
        <f>COUNTIF($S$7:$T$54,"=" &amp; AB10 &amp; "_win")</f>
        <v>0</v>
      </c>
      <c r="AD10" s="39">
        <f>COUNTIF($S$7:$T$54,"=" &amp; AB10 &amp; "_draw")</f>
        <v>0</v>
      </c>
      <c r="AE10" s="39">
        <f>COUNTIF($S$7:$T$54,"=" &amp; AB10 &amp; "_lose")</f>
        <v>3</v>
      </c>
      <c r="AF10" s="39">
        <f>SUMIF($E$7:$E$54,$AB10,$F$7:$F$54) + SUMIF($H$7:$H$54,$AB10,$G$7:$G$54)</f>
        <v>2</v>
      </c>
      <c r="AG10" s="39">
        <f>SUMIF($E$7:$E$54,$AB10,$G$7:$G$54) + SUMIF($H$7:$H$54,$AB10,$F$7:$F$54)</f>
        <v>6</v>
      </c>
      <c r="AH10" s="39">
        <f>(AF10-AG10)+1</f>
        <v>-3</v>
      </c>
      <c r="AI10" s="39">
        <f>AF10-AG10</f>
        <v>-4</v>
      </c>
      <c r="AJ10" s="39">
        <f>(AI10-AI13)/AI12</f>
        <v>0.090909090909090898</v>
      </c>
      <c r="AK10" s="39">
        <f>AC10*3+AD10</f>
        <v>0</v>
      </c>
      <c r="AL10" s="39">
        <f>AP10/AP12*1000+AQ10/AQ12*100+AT10/AT12*10+AR10/AR12</f>
        <v>0</v>
      </c>
      <c r="AM10" s="39">
        <f>VLOOKUP(AB10,db_fifarank,2,0)/2000000</f>
        <v>0.00040250000000000003</v>
      </c>
      <c r="AN10" s="41">
        <f>1000*AK10/AK12+100*AJ10+10*AF10/AF12+1*AL10/AL12+AM10</f>
        <v>11.948454448051899</v>
      </c>
      <c r="AP10" s="39">
        <f>SUMPRODUCT(($S$7:$S$54=AB10&amp;"_win")*($U$7:$U$54))+SUMPRODUCT(($T$7:$T$54=AB10&amp;"_win")*($U$7:$U$54))</f>
        <v>0</v>
      </c>
      <c r="AQ10" s="39">
        <f>SUMPRODUCT(($S$7:$S$54=AB10&amp;"_draw")*($U$7:$U$54))+SUMPRODUCT(($T$7:$T$54=AB10&amp;"_draw")*($U$7:$U$54))</f>
        <v>0</v>
      </c>
      <c r="AR10" s="39">
        <f>SUMPRODUCT(($E$7:$E$54=AB10)*($U$7:$U$54)*($F$7:$F$54))+SUMPRODUCT(($H$7:$H$54=AB10)*($U$7:$U$54)*($G$7:$G$54))</f>
        <v>0</v>
      </c>
      <c r="AS10" s="39">
        <f>SUMPRODUCT(($E$7:$E$54=AB10)*($U$7:$U$54)*($G$7:$G$54))+SUMPRODUCT(($H$7:$H$54=AB10)*($U$7:$U$54)*($F$7:$F$54))</f>
        <v>0</v>
      </c>
      <c r="AT10" s="39">
        <f>AR10-AS10</f>
        <v>0</v>
      </c>
      <c r="AY10" s="75">
        <v>49</v>
      </c>
      <c r="AZ10" s="76" t="str">
        <f>AO8</f>
        <v>Uruguay</v>
      </c>
      <c r="BA10" s="77">
        <v>2</v>
      </c>
      <c r="BB10" s="78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</row>
    <row ht="15" customHeight="1" r="11">
      <c r="A11" s="56">
        <v>5</v>
      </c>
      <c r="B11" s="57" t="str">
        <f>INDEX(T,18+INT(MOD(R11-1,7)),lang)</f>
        <v>Sat</v>
      </c>
      <c r="C11" s="58" t="str">
        <f>INDEX(T,24+MONTH(R11),lang) &amp; " " &amp; DAY(R11) &amp; ", " &amp; YEAR(R11)</f>
        <v xml:space="preserve">Jun 16, 2018</v>
      </c>
      <c r="D11" s="59">
        <f>TIME(HOUR(R11),MINUTE(R11),0)</f>
        <v>0.25</v>
      </c>
      <c r="E11" s="60" t="str">
        <f>AB20</f>
        <v>Francia</v>
      </c>
      <c r="F11" s="61">
        <v>2</v>
      </c>
      <c r="G11" s="62">
        <v>1</v>
      </c>
      <c r="H11" s="63" t="str">
        <f>AB21</f>
        <v>Australia</v>
      </c>
      <c r="J11" s="72" t="str">
        <f>VLOOKUP(3,AA8:AK11,2,0)</f>
        <v xml:space="preserve">Arabia Saudita</v>
      </c>
      <c r="K11" s="73">
        <f>L11+M11+N11</f>
        <v>3</v>
      </c>
      <c r="L11" s="73">
        <f>VLOOKUP(3,AA8:AK11,3,0)</f>
        <v>1</v>
      </c>
      <c r="M11" s="73">
        <f>VLOOKUP(3,AA8:AK11,4,0)</f>
        <v>0</v>
      </c>
      <c r="N11" s="73">
        <f>VLOOKUP(3,AA8:AK11,5,0)</f>
        <v>2</v>
      </c>
      <c r="O11" s="73" t="str">
        <f>VLOOKUP(3,AA8:AK11,6,0) &amp; " - " &amp; VLOOKUP(3,AA8:AK11,7,0)</f>
        <v xml:space="preserve">2 - 7</v>
      </c>
      <c r="P11" s="74">
        <f>L11*3+M11</f>
        <v>3</v>
      </c>
      <c r="R11" s="39">
        <f>DATE(2018,6,15)+TIME(23,0,0)+gmt_delta</f>
        <v>43267.25</v>
      </c>
      <c r="S11" s="40" t="str">
        <f>IF(OR(F11="",G11=""),"",IF(F11&gt;G11,E11&amp;"_win",IF(F11&lt;G11,E11&amp;"_lose",E11&amp;"_draw")))</f>
        <v>Francia_win</v>
      </c>
      <c r="T11" s="40" t="str">
        <f>IF(S11="","",IF(F11&lt;G11,H11&amp;"_win",IF(F11&gt;G11,H11&amp;"_lose",H11&amp;"_draw")))</f>
        <v>Australia_lose</v>
      </c>
      <c r="U11" s="41">
        <f>IF(S11="",0,IF(VLOOKUP(E11,$AB$8:$AK$53,7,0)=VLOOKUP(H11,$AB$8:$AK$53,7,0),1,0))</f>
        <v>0</v>
      </c>
      <c r="V11" s="39">
        <f>U11*F11</f>
        <v>0</v>
      </c>
      <c r="W11" s="39">
        <f>U11*G11</f>
        <v>0</v>
      </c>
      <c r="X11" s="39">
        <f>IF(OR(E11=my_team,H11=my_team),1,0)</f>
        <v>0</v>
      </c>
      <c r="Y11" s="39">
        <f>IF(OR(F11="",G11=""),"",IF(F11&gt;G11,1,IF(F11&lt;G11,-1,0)))</f>
        <v>1</v>
      </c>
      <c r="AA11" s="39">
        <f>COUNTIF(AN8:AN11,CONCATENATE("&gt;=",AN11))</f>
        <v>1</v>
      </c>
      <c r="AB11" s="41" t="str">
        <f>VLOOKUP("Uruguay",T,lang,0)</f>
        <v>Uruguay</v>
      </c>
      <c r="AC11" s="39">
        <f>COUNTIF($S$7:$T$54,"=" &amp; AB11 &amp; "_win")</f>
        <v>3</v>
      </c>
      <c r="AD11" s="39">
        <f>COUNTIF($S$7:$T$54,"=" &amp; AB11 &amp; "_draw")</f>
        <v>0</v>
      </c>
      <c r="AE11" s="39">
        <f>COUNTIF($S$7:$T$54,"=" &amp; AB11 &amp; "_lose")</f>
        <v>0</v>
      </c>
      <c r="AF11" s="39">
        <f>SUMIF($E$7:$E$54,$AB11,$F$7:$F$54) + SUMIF($H$7:$H$54,$AB11,$G$7:$G$54)</f>
        <v>5</v>
      </c>
      <c r="AG11" s="39">
        <f>SUMIF($E$7:$E$54,$AB11,$G$7:$G$54) + SUMIF($H$7:$H$54,$AB11,$F$7:$F$54)</f>
        <v>0</v>
      </c>
      <c r="AH11" s="39">
        <f>(AF11-AG11)+1</f>
        <v>6</v>
      </c>
      <c r="AI11" s="39">
        <f>AF11-AG11</f>
        <v>5</v>
      </c>
      <c r="AJ11" s="39">
        <f>(AI11-AI13)/AI12</f>
        <v>0.90909090909090895</v>
      </c>
      <c r="AK11" s="39">
        <f>AC11*3+AD11</f>
        <v>9</v>
      </c>
      <c r="AL11" s="39">
        <f>AP11/AP12*1000+AQ11/AQ12*100+AT11/AT12*10+AR11/AR12</f>
        <v>0</v>
      </c>
      <c r="AM11" s="39">
        <f>VLOOKUP(AB11,db_fifarank,2,0)/2000000</f>
        <v>0.00046200000000000001</v>
      </c>
      <c r="AN11" s="41">
        <f>1000*AK11/AK12+100*AJ11+10*AF11/AF12+1*AL11/AL12+AM11</f>
        <v>998.05241005194796</v>
      </c>
      <c r="AP11" s="39">
        <f>SUMPRODUCT(($S$7:$S$54=AB11&amp;"_win")*($U$7:$U$54))+SUMPRODUCT(($T$7:$T$54=AB11&amp;"_win")*($U$7:$U$54))</f>
        <v>0</v>
      </c>
      <c r="AQ11" s="39">
        <f>SUMPRODUCT(($S$7:$S$54=AB11&amp;"_draw")*($U$7:$U$54))+SUMPRODUCT(($T$7:$T$54=AB11&amp;"_draw")*($U$7:$U$54))</f>
        <v>0</v>
      </c>
      <c r="AR11" s="39">
        <f>SUMPRODUCT(($E$7:$E$54=AB11)*($U$7:$U$54)*($F$7:$F$54))+SUMPRODUCT(($H$7:$H$54=AB11)*($U$7:$U$54)*($G$7:$G$54))</f>
        <v>0</v>
      </c>
      <c r="AS11" s="39">
        <f>SUMPRODUCT(($E$7:$E$54=AB11)*($U$7:$U$54)*($G$7:$G$54))+SUMPRODUCT(($H$7:$H$54=AB11)*($U$7:$U$54)*($F$7:$F$54))</f>
        <v>0</v>
      </c>
      <c r="AT11" s="39">
        <f>AR11-AS11</f>
        <v>0</v>
      </c>
      <c r="AY11" s="75"/>
      <c r="AZ11" s="79" t="str">
        <f>AO15</f>
        <v>Portugal</v>
      </c>
      <c r="BA11" s="80">
        <v>1</v>
      </c>
      <c r="BB11" s="81"/>
      <c r="BC11" s="82"/>
      <c r="BD11" s="67"/>
      <c r="BE11" s="67" t="str">
        <f>INDEX(T,24+MONTH(R69),lang) &amp; " " &amp; DAY(R69) &amp; ", " &amp; YEAR(R69) &amp; "   " &amp; TEXT(TIME(HOUR(R69),MINUTE(R69),0),"hh:mm")</f>
        <v xml:space="preserve">Jul 6, 2018   10:00</v>
      </c>
      <c r="BF11" s="67"/>
      <c r="BG11" s="67"/>
      <c r="BH11" s="83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</row>
    <row ht="15" customHeight="1" r="12">
      <c r="A12" s="56">
        <v>6</v>
      </c>
      <c r="B12" s="57" t="str">
        <f>INDEX(T,18+INT(MOD(R12-1,7)),lang)</f>
        <v>Sat</v>
      </c>
      <c r="C12" s="58" t="str">
        <f>INDEX(T,24+MONTH(R12),lang) &amp; " " &amp; DAY(R12) &amp; ", " &amp; YEAR(R12)</f>
        <v xml:space="preserve">Jun 16, 2018</v>
      </c>
      <c r="D12" s="59">
        <f>TIME(HOUR(R12),MINUTE(R12),0)</f>
        <v>0.5</v>
      </c>
      <c r="E12" s="60" t="str">
        <f>AB22</f>
        <v>Perú</v>
      </c>
      <c r="F12" s="61">
        <v>0</v>
      </c>
      <c r="G12" s="62">
        <v>1</v>
      </c>
      <c r="H12" s="63" t="str">
        <f>AB23</f>
        <v>Dinamarca</v>
      </c>
      <c r="J12" s="84" t="str">
        <f>VLOOKUP(4,AA8:AK11,2,0)</f>
        <v>Egipto</v>
      </c>
      <c r="K12" s="85">
        <f>L12+M12+N12</f>
        <v>3</v>
      </c>
      <c r="L12" s="85">
        <f>VLOOKUP(4,AA8:AK11,3,0)</f>
        <v>0</v>
      </c>
      <c r="M12" s="85">
        <f>VLOOKUP(4,AA8:AK11,4,0)</f>
        <v>0</v>
      </c>
      <c r="N12" s="85">
        <f>VLOOKUP(4,AA8:AK11,5,0)</f>
        <v>3</v>
      </c>
      <c r="O12" s="85" t="str">
        <f>VLOOKUP(4,AA8:AK11,6,0) &amp; " - " &amp; VLOOKUP(4,AA8:AK11,7,0)</f>
        <v xml:space="preserve">2 - 6</v>
      </c>
      <c r="P12" s="86">
        <f>L12*3+M12</f>
        <v>0</v>
      </c>
      <c r="R12" s="39">
        <f>DATE(2018,6,16)+TIME(5,0,0)+gmt_delta</f>
        <v>43267.5</v>
      </c>
      <c r="S12" s="40" t="str">
        <f>IF(OR(F12="",G12=""),"",IF(F12&gt;G12,E12&amp;"_win",IF(F12&lt;G12,E12&amp;"_lose",E12&amp;"_draw")))</f>
        <v>Perú_lose</v>
      </c>
      <c r="T12" s="40" t="str">
        <f>IF(S12="","",IF(F12&lt;G12,H12&amp;"_win",IF(F12&gt;G12,H12&amp;"_lose",H12&amp;"_draw")))</f>
        <v>Dinamarca_win</v>
      </c>
      <c r="U12" s="41">
        <f>IF(S12="",0,IF(VLOOKUP(E12,$AB$8:$AK$53,7,0)=VLOOKUP(H12,$AB$8:$AK$53,7,0),1,0))</f>
        <v>0</v>
      </c>
      <c r="V12" s="39">
        <f>U12*F12</f>
        <v>0</v>
      </c>
      <c r="W12" s="39">
        <f>U12*G12</f>
        <v>0</v>
      </c>
      <c r="X12" s="39">
        <f>IF(OR(E12=my_team,H12=my_team),1,0)</f>
        <v>0</v>
      </c>
      <c r="Y12" s="39">
        <f>IF(OR(F12="",G12=""),"",IF(F12&gt;G12,1,IF(F12&lt;G12,-1,0)))</f>
        <v>-1</v>
      </c>
      <c r="AC12" s="39">
        <f>MAX(AC8:AC11)-MIN(AC8:AC11)+1</f>
        <v>4</v>
      </c>
      <c r="AD12" s="39">
        <f>MAX(AD8:AD11)-MIN(AD8:AD11)+1</f>
        <v>1</v>
      </c>
      <c r="AE12" s="39">
        <f>MAX(AE8:AE11)-MIN(AE8:AE11)+1</f>
        <v>4</v>
      </c>
      <c r="AF12" s="39">
        <f>MAX(AF8:AF11)-MIN(AF8:AF11)+1</f>
        <v>7</v>
      </c>
      <c r="AG12" s="39">
        <f>MAX(AG8:AG11)-MIN(AG8:AG11)+1</f>
        <v>8</v>
      </c>
      <c r="AH12" s="39">
        <f>MAX(AH8:AH11)-AH13+1</f>
        <v>11</v>
      </c>
      <c r="AI12" s="39">
        <f>MAX(AI8:AI11)-AI13+1</f>
        <v>11</v>
      </c>
      <c r="AK12" s="39">
        <f>MAX(AK8:AK11)-MIN(AK8:AK11)+1</f>
        <v>10</v>
      </c>
      <c r="AL12" s="39">
        <f>MAX(AL8:AL11)-MIN(AL8:AL11)+1</f>
        <v>1</v>
      </c>
      <c r="AP12" s="39">
        <f>MAX(AP8:AP11)-MIN(AP8:AP11)+1</f>
        <v>1</v>
      </c>
      <c r="AQ12" s="39">
        <f>MAX(AQ8:AQ11)-MIN(AQ8:AQ11)+1</f>
        <v>1</v>
      </c>
      <c r="AR12" s="39">
        <f>MAX(AR8:AR11)-MIN(AR8:AR11)+1</f>
        <v>1</v>
      </c>
      <c r="AS12" s="39">
        <f>MAX(AS8:AS11)-MIN(AS8:AS11)+1</f>
        <v>1</v>
      </c>
      <c r="AT12" s="39">
        <f>MAX(AT8:AT11)-MIN(AT8:AT11)+1</f>
        <v>1</v>
      </c>
      <c r="AY12" s="67"/>
      <c r="AZ12" s="67"/>
      <c r="BA12" s="67"/>
      <c r="BB12" s="67"/>
      <c r="BC12" s="87"/>
      <c r="BD12" s="67"/>
      <c r="BE12" s="75">
        <v>57</v>
      </c>
      <c r="BF12" s="76" t="str">
        <f>T58</f>
        <v>Uruguay</v>
      </c>
      <c r="BG12" s="77">
        <v>0</v>
      </c>
      <c r="BH12" s="78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</row>
    <row ht="15" customHeight="1" r="13">
      <c r="A13" s="56">
        <v>7</v>
      </c>
      <c r="B13" s="57" t="str">
        <f>INDEX(T,18+INT(MOD(R13-1,7)),lang)</f>
        <v>Sat</v>
      </c>
      <c r="C13" s="58" t="str">
        <f>INDEX(T,24+MONTH(R13),lang) &amp; " " &amp; DAY(R13) &amp; ", " &amp; YEAR(R13)</f>
        <v xml:space="preserve">Jun 16, 2018</v>
      </c>
      <c r="D13" s="59">
        <f>TIME(HOUR(R13),MINUTE(R13),0)</f>
        <v>0.375</v>
      </c>
      <c r="E13" s="60" t="str">
        <f>AB26</f>
        <v>Argentina</v>
      </c>
      <c r="F13" s="61">
        <v>1</v>
      </c>
      <c r="G13" s="62">
        <v>1</v>
      </c>
      <c r="H13" s="63" t="str">
        <f>AB27</f>
        <v>Islandia</v>
      </c>
      <c r="J13" s="36"/>
      <c r="K13" s="37"/>
      <c r="L13" s="37"/>
      <c r="M13" s="37"/>
      <c r="N13" s="37"/>
      <c r="O13" s="37"/>
      <c r="P13" s="37"/>
      <c r="R13" s="39">
        <f>DATE(2018,6,16)+TIME(2,0,0)+gmt_delta</f>
        <v>43267.375</v>
      </c>
      <c r="S13" s="40" t="str">
        <f>IF(OR(F13="",G13=""),"",IF(F13&gt;G13,E13&amp;"_win",IF(F13&lt;G13,E13&amp;"_lose",E13&amp;"_draw")))</f>
        <v>Argentina_draw</v>
      </c>
      <c r="T13" s="40" t="str">
        <f>IF(S13="","",IF(F13&lt;G13,H13&amp;"_win",IF(F13&gt;G13,H13&amp;"_lose",H13&amp;"_draw")))</f>
        <v>Islandia_draw</v>
      </c>
      <c r="U13" s="41">
        <f>IF(S13="",0,IF(VLOOKUP(E13,$AB$8:$AK$53,7,0)=VLOOKUP(H13,$AB$8:$AK$53,7,0),1,0))</f>
        <v>0</v>
      </c>
      <c r="V13" s="39">
        <f>U13*F13</f>
        <v>0</v>
      </c>
      <c r="W13" s="39">
        <f>U13*G13</f>
        <v>0</v>
      </c>
      <c r="X13" s="39">
        <f>IF(OR(E13=my_team,H13=my_team),1,0)</f>
        <v>0</v>
      </c>
      <c r="Y13" s="39">
        <f>IF(OR(F13="",G13=""),"",IF(F13&gt;G13,1,IF(F13&lt;G13,-1,0)))</f>
        <v>0</v>
      </c>
      <c r="AH13" s="39">
        <f>MIN(AH8:AH11)</f>
        <v>-4</v>
      </c>
      <c r="AI13" s="39">
        <f>MIN(AI8:AI11)</f>
        <v>-5</v>
      </c>
      <c r="AY13" s="67" t="str">
        <f>INDEX(T,24+MONTH(R59),lang) &amp; " " &amp; DAY(R59) &amp; ", " &amp; YEAR(R59) &amp; "   " &amp; TEXT(TIME(HOUR(R59),MINUTE(R59),0),"hh:mm")</f>
        <v xml:space="preserve">Jun 30, 2018   10:00</v>
      </c>
      <c r="AZ13" s="67"/>
      <c r="BA13" s="67"/>
      <c r="BB13" s="83"/>
      <c r="BC13" s="87"/>
      <c r="BD13" s="88"/>
      <c r="BE13" s="75"/>
      <c r="BF13" s="79" t="str">
        <f>T59</f>
        <v>Francia</v>
      </c>
      <c r="BG13" s="80">
        <v>2</v>
      </c>
      <c r="BH13" s="81"/>
      <c r="BI13" s="82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</row>
    <row ht="15" customHeight="1" r="14">
      <c r="A14" s="56">
        <v>8</v>
      </c>
      <c r="B14" s="57" t="str">
        <f>INDEX(T,18+INT(MOD(R14-1,7)),lang)</f>
        <v>Sat</v>
      </c>
      <c r="C14" s="58" t="str">
        <f>INDEX(T,24+MONTH(R14),lang) &amp; " " &amp; DAY(R14) &amp; ", " &amp; YEAR(R14)</f>
        <v xml:space="preserve">Jun 16, 2018</v>
      </c>
      <c r="D14" s="59">
        <f>TIME(HOUR(R14),MINUTE(R14),0)</f>
        <v>0.625</v>
      </c>
      <c r="E14" s="60" t="str">
        <f>AB28</f>
        <v>Croacia</v>
      </c>
      <c r="F14" s="61">
        <v>2</v>
      </c>
      <c r="G14" s="62">
        <v>0</v>
      </c>
      <c r="H14" s="63" t="str">
        <f>AB29</f>
        <v>Nigeria</v>
      </c>
      <c r="J14" s="64" t="str">
        <f>INDEX(T,9,lang) &amp; " " &amp; "B"</f>
        <v xml:space="preserve">Grupo B</v>
      </c>
      <c r="K14" s="65" t="str">
        <f>INDEX(T,10,lang)</f>
        <v>J</v>
      </c>
      <c r="L14" s="65" t="str">
        <f>INDEX(T,11,lang)</f>
        <v>G</v>
      </c>
      <c r="M14" s="65" t="str">
        <f>INDEX(T,12,lang)</f>
        <v>DRAW</v>
      </c>
      <c r="N14" s="65" t="str">
        <f>INDEX(T,13,lang)</f>
        <v>P</v>
      </c>
      <c r="O14" s="65" t="str">
        <f>INDEX(T,14,lang)</f>
        <v xml:space="preserve">GF - GC</v>
      </c>
      <c r="P14" s="66" t="str">
        <f>INDEX(T,15,lang)</f>
        <v>PTS</v>
      </c>
      <c r="R14" s="39">
        <f>DATE(2018,6,16)+TIME(8,0,0)+gmt_delta</f>
        <v>43267.625</v>
      </c>
      <c r="S14" s="40" t="str">
        <f>IF(OR(F14="",G14=""),"",IF(F14&gt;G14,E14&amp;"_win",IF(F14&lt;G14,E14&amp;"_lose",E14&amp;"_draw")))</f>
        <v>Croacia_win</v>
      </c>
      <c r="T14" s="40" t="str">
        <f>IF(S14="","",IF(F14&lt;G14,H14&amp;"_win",IF(F14&gt;G14,H14&amp;"_lose",H14&amp;"_draw")))</f>
        <v>Nigeria_lose</v>
      </c>
      <c r="U14" s="41">
        <f>IF(S14="",0,IF(VLOOKUP(E14,$AB$8:$AK$53,7,0)=VLOOKUP(H14,$AB$8:$AK$53,7,0),1,0))</f>
        <v>0</v>
      </c>
      <c r="V14" s="39">
        <f>U14*F14</f>
        <v>0</v>
      </c>
      <c r="W14" s="39">
        <f>U14*G14</f>
        <v>0</v>
      </c>
      <c r="X14" s="39">
        <f>IF(OR(E14=my_team,H14=my_team),1,0)</f>
        <v>0</v>
      </c>
      <c r="Y14" s="39">
        <f>IF(OR(F14="",G14=""),"",IF(F14&gt;G14,1,IF(F14&lt;G14,-1,0)))</f>
        <v>1</v>
      </c>
      <c r="AA14" s="39">
        <f>COUNTIF(AN14:AN17,CONCATENATE("&gt;=",AN14))</f>
        <v>2</v>
      </c>
      <c r="AB14" s="41" t="str">
        <f>VLOOKUP("Portugal",T,lang,0)</f>
        <v>Portugal</v>
      </c>
      <c r="AC14" s="39">
        <f>COUNTIF($S$7:$T$54,"=" &amp; AB14 &amp; "_win")</f>
        <v>1</v>
      </c>
      <c r="AD14" s="39">
        <f>COUNTIF($S$7:$T$54,"=" &amp; AB14 &amp; "_draw")</f>
        <v>2</v>
      </c>
      <c r="AE14" s="39">
        <f>COUNTIF($S$7:$T$54,"=" &amp; AB14 &amp; "_lose")</f>
        <v>0</v>
      </c>
      <c r="AF14" s="39">
        <f>SUMIF($E$7:$E$54,$AB14,$F$7:$F$54) + SUMIF($H$7:$H$54,$AB14,$G$7:$G$54)</f>
        <v>5</v>
      </c>
      <c r="AG14" s="39">
        <f>SUMIF($E$7:$E$54,$AB14,$G$7:$G$54) + SUMIF($H$7:$H$54,$AB14,$F$7:$F$54)</f>
        <v>4</v>
      </c>
      <c r="AH14" s="39">
        <f>(AF14-AG14)*100+AK14*10000+AF14</f>
        <v>50105</v>
      </c>
      <c r="AI14" s="39">
        <f>AF14-AG14</f>
        <v>1</v>
      </c>
      <c r="AJ14" s="39">
        <f>(AI14-AI19)/AI18</f>
        <v>0.75</v>
      </c>
      <c r="AK14" s="39">
        <f>AC14*3+AD14</f>
        <v>5</v>
      </c>
      <c r="AL14" s="39">
        <f>AP14/AP18*1000+AQ14/AQ18*100+AT14/AT18*10+AR14/AR18</f>
        <v>0</v>
      </c>
      <c r="AM14" s="39">
        <f>VLOOKUP(AB14,db_fifarank,2,0)/2000000</f>
        <v>0.00067900000000000002</v>
      </c>
      <c r="AN14" s="41">
        <f>1000*AK14/AK18+100*AJ14+10*AF14/AF18+1*AL14/AL18+AM14</f>
        <v>1085.000679</v>
      </c>
      <c r="AO14" s="41" t="str">
        <f>IF(SUM(AC14:AE17)=12,J15,INDEX(T,72,lang))</f>
        <v>España</v>
      </c>
      <c r="AP14" s="39">
        <f>SUMPRODUCT(($S$7:$S$54=AB14&amp;"_win")*($U$7:$U$54))+SUMPRODUCT(($T$7:$T$54=AB14&amp;"_win")*($U$7:$U$54))</f>
        <v>0</v>
      </c>
      <c r="AQ14" s="39">
        <f>SUMPRODUCT(($S$7:$S$54=AB14&amp;"_draw")*($U$7:$U$54))+SUMPRODUCT(($T$7:$T$54=AB14&amp;"_draw")*($U$7:$U$54))</f>
        <v>0</v>
      </c>
      <c r="AR14" s="39">
        <f>SUMPRODUCT(($E$7:$E$54=AB14)*($U$7:$U$54)*($F$7:$F$54))+SUMPRODUCT(($H$7:$H$54=AB14)*($U$7:$U$54)*($G$7:$G$54))</f>
        <v>0</v>
      </c>
      <c r="AS14" s="39">
        <f>SUMPRODUCT(($E$7:$E$54=AB14)*($U$7:$U$54)*($G$7:$G$54))+SUMPRODUCT(($H$7:$H$54=AB14)*($U$7:$U$54)*($F$7:$F$54))</f>
        <v>0</v>
      </c>
      <c r="AT14" s="39">
        <f>AR14-AS14</f>
        <v>0</v>
      </c>
      <c r="AY14" s="75">
        <v>50</v>
      </c>
      <c r="AZ14" s="76" t="str">
        <f>AO20</f>
        <v>Francia</v>
      </c>
      <c r="BA14" s="77">
        <v>4</v>
      </c>
      <c r="BB14" s="78"/>
      <c r="BC14" s="89"/>
      <c r="BD14" s="67"/>
      <c r="BE14" s="67"/>
      <c r="BF14" s="67"/>
      <c r="BG14" s="67"/>
      <c r="BH14" s="67"/>
      <c r="BI14" s="87"/>
      <c r="BJ14" s="67"/>
      <c r="BK14" s="67"/>
      <c r="BL14" s="67"/>
      <c r="BM14" s="67"/>
      <c r="BN14" s="83"/>
      <c r="BO14" s="67"/>
      <c r="BP14" s="67"/>
      <c r="BQ14" s="67"/>
      <c r="BR14" s="67"/>
      <c r="BS14" s="67"/>
      <c r="BT14" s="67"/>
    </row>
    <row ht="15" customHeight="1" r="15">
      <c r="A15" s="56">
        <v>9</v>
      </c>
      <c r="B15" s="57" t="str">
        <f>INDEX(T,18+INT(MOD(R15-1,7)),lang)</f>
        <v>Sun</v>
      </c>
      <c r="C15" s="58" t="str">
        <f>INDEX(T,24+MONTH(R15),lang) &amp; " " &amp; DAY(R15) &amp; ", " &amp; YEAR(R15)</f>
        <v xml:space="preserve">Jun 17, 2018</v>
      </c>
      <c r="D15" s="59">
        <f>TIME(HOUR(R15),MINUTE(R15),0)</f>
        <v>0.58333333333333304</v>
      </c>
      <c r="E15" s="60" t="str">
        <f>AB32</f>
        <v>Brasil</v>
      </c>
      <c r="F15" s="61">
        <v>1</v>
      </c>
      <c r="G15" s="62">
        <v>1</v>
      </c>
      <c r="H15" s="63" t="str">
        <f>AB33</f>
        <v>Suiza</v>
      </c>
      <c r="J15" s="68" t="str">
        <f>VLOOKUP(1,AA14:AK17,2,0)</f>
        <v>España</v>
      </c>
      <c r="K15" s="69">
        <f>L15+M15+N15</f>
        <v>3</v>
      </c>
      <c r="L15" s="69">
        <f>VLOOKUP(1,AA14:AK17,3,0)</f>
        <v>1</v>
      </c>
      <c r="M15" s="69">
        <f>VLOOKUP(1,AA14:AK17,4,0)</f>
        <v>2</v>
      </c>
      <c r="N15" s="69">
        <f>VLOOKUP(1,AA14:AK17,5,0)</f>
        <v>0</v>
      </c>
      <c r="O15" s="69" t="str">
        <f>VLOOKUP(1,AA14:AK17,6,0) &amp; " - " &amp; VLOOKUP(1,AA14:AK17,7,0)</f>
        <v xml:space="preserve">6 - 5</v>
      </c>
      <c r="P15" s="70">
        <f>L15*3+M15</f>
        <v>5</v>
      </c>
      <c r="R15" s="39">
        <f>DATE(2018,6,17)+TIME(7,0,0)+gmt_delta</f>
        <v>43268.583333333299</v>
      </c>
      <c r="S15" s="40" t="str">
        <f>IF(OR(F15="",G15=""),"",IF(F15&gt;G15,E15&amp;"_win",IF(F15&lt;G15,E15&amp;"_lose",E15&amp;"_draw")))</f>
        <v>Brasil_draw</v>
      </c>
      <c r="T15" s="40" t="str">
        <f>IF(S15="","",IF(F15&lt;G15,H15&amp;"_win",IF(F15&gt;G15,H15&amp;"_lose",H15&amp;"_draw")))</f>
        <v>Suiza_draw</v>
      </c>
      <c r="U15" s="41">
        <f>IF(S15="",0,IF(VLOOKUP(E15,$AB$8:$AK$53,7,0)=VLOOKUP(H15,$AB$8:$AK$53,7,0),1,0))</f>
        <v>0</v>
      </c>
      <c r="V15" s="39">
        <f>U15*F15</f>
        <v>0</v>
      </c>
      <c r="W15" s="39">
        <f>U15*G15</f>
        <v>0</v>
      </c>
      <c r="X15" s="39">
        <f>IF(OR(E15=my_team,H15=my_team),1,0)</f>
        <v>0</v>
      </c>
      <c r="Y15" s="39">
        <f>IF(OR(F15="",G15=""),"",IF(F15&gt;G15,1,IF(F15&lt;G15,-1,0)))</f>
        <v>0</v>
      </c>
      <c r="AA15" s="39">
        <f>COUNTIF(AN14:AN17,CONCATENATE("&gt;=",AN15))</f>
        <v>1</v>
      </c>
      <c r="AB15" s="41" t="str">
        <f>VLOOKUP("Spain",T,lang,0)</f>
        <v>España</v>
      </c>
      <c r="AC15" s="39">
        <f>COUNTIF($S$7:$T$54,"=" &amp; AB15 &amp; "_win")</f>
        <v>1</v>
      </c>
      <c r="AD15" s="39">
        <f>COUNTIF($S$7:$T$54,"=" &amp; AB15 &amp; "_draw")</f>
        <v>2</v>
      </c>
      <c r="AE15" s="39">
        <f>COUNTIF($S$7:$T$54,"=" &amp; AB15 &amp; "_lose")</f>
        <v>0</v>
      </c>
      <c r="AF15" s="39">
        <f>SUMIF($E$7:$E$54,$AB15,$F$7:$F$54) + SUMIF($H$7:$H$54,$AB15,$G$7:$G$54)</f>
        <v>6</v>
      </c>
      <c r="AG15" s="39">
        <f>SUMIF($E$7:$E$54,$AB15,$G$7:$G$54) + SUMIF($H$7:$H$54,$AB15,$F$7:$F$54)</f>
        <v>5</v>
      </c>
      <c r="AH15" s="39">
        <f>(AF15-AG15)*100+AK15*10000+AF15</f>
        <v>50106</v>
      </c>
      <c r="AI15" s="39">
        <f>AF15-AG15</f>
        <v>1</v>
      </c>
      <c r="AJ15" s="39">
        <f>(AI15-AI19)/AI18</f>
        <v>0.75</v>
      </c>
      <c r="AK15" s="39">
        <f>AC15*3+AD15</f>
        <v>5</v>
      </c>
      <c r="AL15" s="39">
        <f>AP15/AP18*1000+AQ15/AQ18*100+AT15/AT18*10+AR15/AR18</f>
        <v>0</v>
      </c>
      <c r="AM15" s="39">
        <f>VLOOKUP(AB15,db_fifarank,2,0)/2000000</f>
        <v>0.00061550000000000005</v>
      </c>
      <c r="AN15" s="41">
        <f>1000*AK15/AK18+100*AJ15+10*AF15/AF18+1*AL15/AL18+AM15</f>
        <v>1087.0006155000001</v>
      </c>
      <c r="AO15" s="41" t="str">
        <f>IF(SUM(AC14:AE17)=12,J16,INDEX(T,73,lang))</f>
        <v>Portugal</v>
      </c>
      <c r="AP15" s="39">
        <f>SUMPRODUCT(($S$7:$S$54=AB15&amp;"_win")*($U$7:$U$54))+SUMPRODUCT(($T$7:$T$54=AB15&amp;"_win")*($U$7:$U$54))</f>
        <v>0</v>
      </c>
      <c r="AQ15" s="39">
        <f>SUMPRODUCT(($S$7:$S$54=AB15&amp;"_draw")*($U$7:$U$54))+SUMPRODUCT(($T$7:$T$54=AB15&amp;"_draw")*($U$7:$U$54))</f>
        <v>0</v>
      </c>
      <c r="AR15" s="39">
        <f>SUMPRODUCT(($E$7:$E$54=AB15)*($U$7:$U$54)*($F$7:$F$54))+SUMPRODUCT(($H$7:$H$54=AB15)*($U$7:$U$54)*($G$7:$G$54))</f>
        <v>0</v>
      </c>
      <c r="AS15" s="39">
        <f>SUMPRODUCT(($E$7:$E$54=AB15)*($U$7:$U$54)*($G$7:$G$54))+SUMPRODUCT(($H$7:$H$54=AB15)*($U$7:$U$54)*($F$7:$F$54))</f>
        <v>0</v>
      </c>
      <c r="AT15" s="39">
        <f>AR15-AS15</f>
        <v>0</v>
      </c>
      <c r="AY15" s="75"/>
      <c r="AZ15" s="79" t="str">
        <f>AO27</f>
        <v>Argentina</v>
      </c>
      <c r="BA15" s="80">
        <v>3</v>
      </c>
      <c r="BB15" s="81"/>
      <c r="BC15" s="67"/>
      <c r="BD15" s="67"/>
      <c r="BE15" s="67"/>
      <c r="BF15" s="67"/>
      <c r="BG15" s="67"/>
      <c r="BH15" s="67"/>
      <c r="BI15" s="87"/>
      <c r="BJ15" s="67"/>
      <c r="BK15" s="67" t="str">
        <f>INDEX(T,24+MONTH(R76),lang) &amp; " " &amp; DAY(R76) &amp; ", " &amp; YEAR(R76) &amp; "   " &amp; TEXT(TIME(HOUR(R76),MINUTE(R76),0),"hh:mm")</f>
        <v xml:space="preserve">Jul 10, 2018   14:00</v>
      </c>
      <c r="BL15" s="67"/>
      <c r="BM15" s="67"/>
      <c r="BN15" s="83"/>
      <c r="BO15" s="67"/>
      <c r="BP15" s="67"/>
      <c r="BQ15" s="67"/>
      <c r="BR15" s="67"/>
      <c r="BS15" s="67"/>
      <c r="BT15" s="67"/>
    </row>
    <row ht="15" customHeight="1" r="16">
      <c r="A16" s="56">
        <v>10</v>
      </c>
      <c r="B16" s="57" t="str">
        <f>INDEX(T,18+INT(MOD(R16-1,7)),lang)</f>
        <v>Sun</v>
      </c>
      <c r="C16" s="58" t="str">
        <f>INDEX(T,24+MONTH(R16),lang) &amp; " " &amp; DAY(R16) &amp; ", " &amp; YEAR(R16)</f>
        <v xml:space="preserve">Jun 17, 2018</v>
      </c>
      <c r="D16" s="59">
        <f>TIME(HOUR(R16),MINUTE(R16),0)</f>
        <v>0.33333333333333298</v>
      </c>
      <c r="E16" s="60" t="str">
        <f>AB34</f>
        <v xml:space="preserve">Costa Rica</v>
      </c>
      <c r="F16" s="61">
        <v>0</v>
      </c>
      <c r="G16" s="62">
        <v>1</v>
      </c>
      <c r="H16" s="63" t="str">
        <f>AB35</f>
        <v>Serbia</v>
      </c>
      <c r="J16" s="72" t="str">
        <f>VLOOKUP(2,AA14:AK17,2,0)</f>
        <v>Portugal</v>
      </c>
      <c r="K16" s="73">
        <f>L16+M16+N16</f>
        <v>3</v>
      </c>
      <c r="L16" s="73">
        <f>VLOOKUP(2,AA14:AK17,3,0)</f>
        <v>1</v>
      </c>
      <c r="M16" s="73">
        <f>VLOOKUP(2,AA14:AK17,4,0)</f>
        <v>2</v>
      </c>
      <c r="N16" s="73">
        <f>VLOOKUP(2,AA14:AK17,5,0)</f>
        <v>0</v>
      </c>
      <c r="O16" s="73" t="str">
        <f>VLOOKUP(2,AA14:AK17,6,0) &amp; " - " &amp; VLOOKUP(2,AA14:AK17,7,0)</f>
        <v xml:space="preserve">5 - 4</v>
      </c>
      <c r="P16" s="74">
        <f>L16*3+M16</f>
        <v>5</v>
      </c>
      <c r="R16" s="39">
        <f>DATE(2018,6,17)+TIME(1,0,0)+gmt_delta</f>
        <v>43268.333333333299</v>
      </c>
      <c r="S16" s="40" t="str">
        <f>IF(OR(F16="",G16=""),"",IF(F16&gt;G16,E16&amp;"_win",IF(F16&lt;G16,E16&amp;"_lose",E16&amp;"_draw")))</f>
        <v xml:space="preserve">Costa Rica_lose</v>
      </c>
      <c r="T16" s="40" t="str">
        <f>IF(S16="","",IF(F16&lt;G16,H16&amp;"_win",IF(F16&gt;G16,H16&amp;"_lose",H16&amp;"_draw")))</f>
        <v>Serbia_win</v>
      </c>
      <c r="U16" s="41">
        <f>IF(S16="",0,IF(VLOOKUP(E16,$AB$8:$AK$53,7,0)=VLOOKUP(H16,$AB$8:$AK$53,7,0),1,0))</f>
        <v>0</v>
      </c>
      <c r="V16" s="39">
        <f>U16*F16</f>
        <v>0</v>
      </c>
      <c r="W16" s="39">
        <f>U16*G16</f>
        <v>0</v>
      </c>
      <c r="X16" s="39">
        <f>IF(OR(E16=my_team,H16=my_team),1,0)</f>
        <v>0</v>
      </c>
      <c r="Y16" s="39">
        <f>IF(OR(F16="",G16=""),"",IF(F16&gt;G16,1,IF(F16&lt;G16,-1,0)))</f>
        <v>-1</v>
      </c>
      <c r="AA16" s="39">
        <f>COUNTIF(AN14:AN17,CONCATENATE("&gt;=",AN16))</f>
        <v>4</v>
      </c>
      <c r="AB16" s="41" t="str">
        <f>VLOOKUP("Morocco",T,lang,0)</f>
        <v>Marruecos</v>
      </c>
      <c r="AC16" s="39">
        <f>COUNTIF($S$7:$T$54,"=" &amp; AB16 &amp; "_win")</f>
        <v>0</v>
      </c>
      <c r="AD16" s="39">
        <f>COUNTIF($S$7:$T$54,"=" &amp; AB16 &amp; "_draw")</f>
        <v>1</v>
      </c>
      <c r="AE16" s="39">
        <f>COUNTIF($S$7:$T$54,"=" &amp; AB16 &amp; "_lose")</f>
        <v>2</v>
      </c>
      <c r="AF16" s="39">
        <f>SUMIF($E$7:$E$54,$AB16,$F$7:$F$54) + SUMIF($H$7:$H$54,$AB16,$G$7:$G$54)</f>
        <v>2</v>
      </c>
      <c r="AG16" s="39">
        <f>SUMIF($E$7:$E$54,$AB16,$G$7:$G$54) + SUMIF($H$7:$H$54,$AB16,$F$7:$F$54)</f>
        <v>4</v>
      </c>
      <c r="AH16" s="39">
        <f>(AF16-AG16)*100+AK16*10000+AF16</f>
        <v>9802</v>
      </c>
      <c r="AI16" s="39">
        <f>AF16-AG16</f>
        <v>-2</v>
      </c>
      <c r="AJ16" s="39">
        <f>(AI16-AI19)/AI18</f>
        <v>0</v>
      </c>
      <c r="AK16" s="39">
        <f>AC16*3+AD16</f>
        <v>1</v>
      </c>
      <c r="AL16" s="39">
        <f>AP16/AP18*1000+AQ16/AQ18*100+AT16/AT18*10+AR16/AR18</f>
        <v>0</v>
      </c>
      <c r="AM16" s="39">
        <f>VLOOKUP(AB16,db_fifarank,2,0)/2000000</f>
        <v>0.00036900000000000002</v>
      </c>
      <c r="AN16" s="41">
        <f>1000*AK16/AK18+100*AJ16+10*AF16/AF18+1*AL16/AL18+AM16</f>
        <v>204.00036900000001</v>
      </c>
      <c r="AP16" s="39">
        <f>SUMPRODUCT(($S$7:$S$54=AB16&amp;"_win")*($U$7:$U$54))+SUMPRODUCT(($T$7:$T$54=AB16&amp;"_win")*($U$7:$U$54))</f>
        <v>0</v>
      </c>
      <c r="AQ16" s="39">
        <f>SUMPRODUCT(($S$7:$S$54=AB16&amp;"_draw")*($U$7:$U$54))+SUMPRODUCT(($T$7:$T$54=AB16&amp;"_draw")*($U$7:$U$54))</f>
        <v>0</v>
      </c>
      <c r="AR16" s="39">
        <f>SUMPRODUCT(($E$7:$E$54=AB16)*($U$7:$U$54)*($F$7:$F$54))+SUMPRODUCT(($H$7:$H$54=AB16)*($U$7:$U$54)*($G$7:$G$54))</f>
        <v>0</v>
      </c>
      <c r="AS16" s="39">
        <f>SUMPRODUCT(($E$7:$E$54=AB16)*($U$7:$U$54)*($G$7:$G$54))+SUMPRODUCT(($H$7:$H$54=AB16)*($U$7:$U$54)*($F$7:$F$54))</f>
        <v>0</v>
      </c>
      <c r="AT16" s="39">
        <f>AR16-AS16</f>
        <v>0</v>
      </c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87"/>
      <c r="BJ16" s="67"/>
      <c r="BK16" s="75">
        <v>61</v>
      </c>
      <c r="BL16" s="76" t="str">
        <f>T69</f>
        <v>Francia</v>
      </c>
      <c r="BM16" s="77">
        <v>1</v>
      </c>
      <c r="BN16" s="78"/>
      <c r="BO16" s="67"/>
      <c r="BP16" s="67"/>
      <c r="BQ16" s="67"/>
      <c r="BR16" s="67"/>
      <c r="BS16" s="67"/>
      <c r="BT16" s="67"/>
    </row>
    <row ht="15" customHeight="1" r="17">
      <c r="A17" s="56">
        <v>11</v>
      </c>
      <c r="B17" s="57" t="str">
        <f>INDEX(T,18+INT(MOD(R17-1,7)),lang)</f>
        <v>Sun</v>
      </c>
      <c r="C17" s="58" t="str">
        <f>INDEX(T,24+MONTH(R17),lang) &amp; " " &amp; DAY(R17) &amp; ", " &amp; YEAR(R17)</f>
        <v xml:space="preserve">Jun 17, 2018</v>
      </c>
      <c r="D17" s="59">
        <f>TIME(HOUR(R17),MINUTE(R17),0)</f>
        <v>0.45833333333333298</v>
      </c>
      <c r="E17" s="60" t="str">
        <f>AB38</f>
        <v>Alemania</v>
      </c>
      <c r="F17" s="61">
        <v>0</v>
      </c>
      <c r="G17" s="62">
        <v>1</v>
      </c>
      <c r="H17" s="63" t="str">
        <f>AB39</f>
        <v>México</v>
      </c>
      <c r="J17" s="72" t="str">
        <f>VLOOKUP(3,AA14:AK17,2,0)</f>
        <v>Irán</v>
      </c>
      <c r="K17" s="73">
        <f>L17+M17+N17</f>
        <v>3</v>
      </c>
      <c r="L17" s="73">
        <f>VLOOKUP(3,AA14:AK17,3,0)</f>
        <v>1</v>
      </c>
      <c r="M17" s="73">
        <f>VLOOKUP(3,AA14:AK17,4,0)</f>
        <v>1</v>
      </c>
      <c r="N17" s="73">
        <f>VLOOKUP(3,AA14:AK17,5,0)</f>
        <v>1</v>
      </c>
      <c r="O17" s="73" t="str">
        <f>VLOOKUP(3,AA14:AK17,6,0) &amp; " - " &amp; VLOOKUP(3,AA14:AK17,7,0)</f>
        <v xml:space="preserve">2 - 2</v>
      </c>
      <c r="P17" s="74">
        <f>L17*3+M17</f>
        <v>4</v>
      </c>
      <c r="R17" s="39">
        <f>DATE(2018,6,17)+TIME(4,0,0)+gmt_delta</f>
        <v>43268.458333333299</v>
      </c>
      <c r="S17" s="40" t="str">
        <f>IF(OR(F17="",G17=""),"",IF(F17&gt;G17,E17&amp;"_win",IF(F17&lt;G17,E17&amp;"_lose",E17&amp;"_draw")))</f>
        <v>Alemania_lose</v>
      </c>
      <c r="T17" s="40" t="str">
        <f>IF(S17="","",IF(F17&lt;G17,H17&amp;"_win",IF(F17&gt;G17,H17&amp;"_lose",H17&amp;"_draw")))</f>
        <v>México_win</v>
      </c>
      <c r="U17" s="41">
        <f>IF(S17="",0,IF(VLOOKUP(E17,$AB$8:$AK$53,7,0)=VLOOKUP(H17,$AB$8:$AK$53,7,0),1,0))</f>
        <v>0</v>
      </c>
      <c r="V17" s="39">
        <f>U17*F17</f>
        <v>0</v>
      </c>
      <c r="W17" s="39">
        <f>U17*G17</f>
        <v>0</v>
      </c>
      <c r="X17" s="39">
        <f>IF(OR(E17=my_team,H17=my_team),1,0)</f>
        <v>1</v>
      </c>
      <c r="Y17" s="39">
        <f>IF(OR(F17="",G17=""),"",IF(F17&gt;G17,1,IF(F17&lt;G17,-1,0)))</f>
        <v>-1</v>
      </c>
      <c r="AA17" s="39">
        <f>COUNTIF(AN14:AN17,CONCATENATE("&gt;=",AN17))</f>
        <v>3</v>
      </c>
      <c r="AB17" s="41" t="str">
        <f>VLOOKUP("Iran",T,lang,0)</f>
        <v>Irán</v>
      </c>
      <c r="AC17" s="39">
        <f>COUNTIF($S$7:$T$54,"=" &amp; AB17 &amp; "_win")</f>
        <v>1</v>
      </c>
      <c r="AD17" s="39">
        <f>COUNTIF($S$7:$T$54,"=" &amp; AB17 &amp; "_draw")</f>
        <v>1</v>
      </c>
      <c r="AE17" s="39">
        <f>COUNTIF($S$7:$T$54,"=" &amp; AB17 &amp; "_lose")</f>
        <v>1</v>
      </c>
      <c r="AF17" s="39">
        <f>SUMIF($E$7:$E$54,$AB17,$F$7:$F$54) + SUMIF($H$7:$H$54,$AB17,$G$7:$G$54)</f>
        <v>2</v>
      </c>
      <c r="AG17" s="39">
        <f>SUMIF($E$7:$E$54,$AB17,$G$7:$G$54) + SUMIF($H$7:$H$54,$AB17,$F$7:$F$54)</f>
        <v>2</v>
      </c>
      <c r="AH17" s="39">
        <f>(AF17-AG17)*100+AK17*10000+AF17</f>
        <v>40002</v>
      </c>
      <c r="AI17" s="39">
        <f>AF17-AG17</f>
        <v>0</v>
      </c>
      <c r="AJ17" s="39">
        <f>(AI17-AI19)/AI18</f>
        <v>0.5</v>
      </c>
      <c r="AK17" s="39">
        <f>AC17*3+AD17</f>
        <v>4</v>
      </c>
      <c r="AL17" s="39">
        <f>AP17/AP18*1000+AQ17/AQ18*100+AT17/AT18*10+AR17/AR18</f>
        <v>0</v>
      </c>
      <c r="AM17" s="39">
        <f>VLOOKUP(AB17,db_fifarank,2,0)/2000000</f>
        <v>0.00039899999999999999</v>
      </c>
      <c r="AN17" s="41">
        <f>1000*AK17/AK18+100*AJ17+10*AF17/AF18+1*AL17/AL18+AM17</f>
        <v>854.00039900000002</v>
      </c>
      <c r="AP17" s="39">
        <f>SUMPRODUCT(($S$7:$S$54=AB17&amp;"_win")*($U$7:$U$54))+SUMPRODUCT(($T$7:$T$54=AB17&amp;"_win")*($U$7:$U$54))</f>
        <v>0</v>
      </c>
      <c r="AQ17" s="39">
        <f>SUMPRODUCT(($S$7:$S$54=AB17&amp;"_draw")*($U$7:$U$54))+SUMPRODUCT(($T$7:$T$54=AB17&amp;"_draw")*($U$7:$U$54))</f>
        <v>0</v>
      </c>
      <c r="AR17" s="39">
        <f>SUMPRODUCT(($E$7:$E$54=AB17)*($U$7:$U$54)*($F$7:$F$54))+SUMPRODUCT(($H$7:$H$54=AB17)*($U$7:$U$54)*($G$7:$G$54))</f>
        <v>0</v>
      </c>
      <c r="AS17" s="39">
        <f>SUMPRODUCT(($E$7:$E$54=AB17)*($U$7:$U$54)*($G$7:$G$54))+SUMPRODUCT(($H$7:$H$54=AB17)*($U$7:$U$54)*($F$7:$F$54))</f>
        <v>0</v>
      </c>
      <c r="AT17" s="39">
        <f>AR17-AS17</f>
        <v>0</v>
      </c>
      <c r="AY17" s="67" t="str">
        <f>INDEX(T,24+MONTH(R62),lang) &amp; " " &amp; DAY(R62) &amp; ", " &amp; YEAR(R62) &amp; "   " &amp; TEXT(TIME(HOUR(R62),MINUTE(R62),0),"hh:mm")</f>
        <v xml:space="preserve">Jul 2, 2018   10:00</v>
      </c>
      <c r="AZ17" s="67"/>
      <c r="BA17" s="67"/>
      <c r="BB17" s="83"/>
      <c r="BC17" s="67"/>
      <c r="BD17" s="67"/>
      <c r="BE17" s="67"/>
      <c r="BF17" s="67"/>
      <c r="BG17" s="67"/>
      <c r="BH17" s="67"/>
      <c r="BI17" s="87"/>
      <c r="BJ17" s="88"/>
      <c r="BK17" s="75"/>
      <c r="BL17" s="79" t="str">
        <f>T70</f>
        <v>Bélgica</v>
      </c>
      <c r="BM17" s="80">
        <v>0</v>
      </c>
      <c r="BN17" s="81"/>
      <c r="BO17" s="82"/>
      <c r="BP17" s="90"/>
      <c r="BQ17" s="67"/>
      <c r="BR17" s="67"/>
      <c r="BS17" s="67"/>
      <c r="BT17" s="67"/>
    </row>
    <row ht="15" customHeight="1" r="18">
      <c r="A18" s="56">
        <v>12</v>
      </c>
      <c r="B18" s="57" t="str">
        <f>INDEX(T,18+INT(MOD(R18-1,7)),lang)</f>
        <v>Mon</v>
      </c>
      <c r="C18" s="58" t="str">
        <f>INDEX(T,24+MONTH(R18),lang) &amp; " " &amp; DAY(R18) &amp; ", " &amp; YEAR(R18)</f>
        <v xml:space="preserve">Jun 18, 2018</v>
      </c>
      <c r="D18" s="59">
        <f>TIME(HOUR(R18),MINUTE(R18),0)</f>
        <v>0.33333333333333298</v>
      </c>
      <c r="E18" s="60" t="str">
        <f>AB40</f>
        <v>Suecia</v>
      </c>
      <c r="F18" s="61">
        <v>1</v>
      </c>
      <c r="G18" s="62">
        <v>0</v>
      </c>
      <c r="H18" s="63" t="str">
        <f>AB41</f>
        <v xml:space="preserve">República de Corea</v>
      </c>
      <c r="J18" s="84" t="str">
        <f>VLOOKUP(4,AA14:AK17,2,0)</f>
        <v>Marruecos</v>
      </c>
      <c r="K18" s="85">
        <f>L18+M18+N18</f>
        <v>3</v>
      </c>
      <c r="L18" s="85">
        <f>VLOOKUP(4,AA14:AK17,3,0)</f>
        <v>0</v>
      </c>
      <c r="M18" s="85">
        <f>VLOOKUP(4,AA14:AK17,4,0)</f>
        <v>1</v>
      </c>
      <c r="N18" s="85">
        <f>VLOOKUP(4,AA14:AK17,5,0)</f>
        <v>2</v>
      </c>
      <c r="O18" s="85" t="str">
        <f>VLOOKUP(4,AA14:AK17,6,0) &amp; " - " &amp; VLOOKUP(4,AA14:AK17,7,0)</f>
        <v xml:space="preserve">2 - 4</v>
      </c>
      <c r="P18" s="86">
        <f>L18*3+M18</f>
        <v>1</v>
      </c>
      <c r="R18" s="39">
        <f>DATE(2018,6,18)+TIME(1,0,0)+gmt_delta</f>
        <v>43269.333333333299</v>
      </c>
      <c r="S18" s="40" t="str">
        <f>IF(OR(F18="",G18=""),"",IF(F18&gt;G18,E18&amp;"_win",IF(F18&lt;G18,E18&amp;"_lose",E18&amp;"_draw")))</f>
        <v>Suecia_win</v>
      </c>
      <c r="T18" s="40" t="str">
        <f>IF(S18="","",IF(F18&lt;G18,H18&amp;"_win",IF(F18&gt;G18,H18&amp;"_lose",H18&amp;"_draw")))</f>
        <v xml:space="preserve">República de Corea_lose</v>
      </c>
      <c r="U18" s="41">
        <f>IF(S18="",0,IF(VLOOKUP(E18,$AB$8:$AK$53,7,0)=VLOOKUP(H18,$AB$8:$AK$53,7,0),1,0))</f>
        <v>0</v>
      </c>
      <c r="V18" s="39">
        <f>U18*F18</f>
        <v>0</v>
      </c>
      <c r="W18" s="39">
        <f>U18*G18</f>
        <v>0</v>
      </c>
      <c r="X18" s="39">
        <f>IF(OR(E18=my_team,H18=my_team),1,0)</f>
        <v>0</v>
      </c>
      <c r="Y18" s="39">
        <f>IF(OR(F18="",G18=""),"",IF(F18&gt;G18,1,IF(F18&lt;G18,-1,0)))</f>
        <v>1</v>
      </c>
      <c r="AC18" s="39">
        <f>MAX(AC14:AC17)-MIN(AC14:AC17)+1</f>
        <v>2</v>
      </c>
      <c r="AD18" s="39">
        <f>MAX(AD14:AD17)-MIN(AD14:AD17)+1</f>
        <v>2</v>
      </c>
      <c r="AE18" s="39">
        <f>MAX(AE14:AE17)-MIN(AE14:AE17)+1</f>
        <v>3</v>
      </c>
      <c r="AF18" s="39">
        <f>MAX(AF14:AF17)-MIN(AF14:AF17)+1</f>
        <v>5</v>
      </c>
      <c r="AG18" s="39">
        <f>MAX(AG14:AG17)-MIN(AG14:AG17)+1</f>
        <v>4</v>
      </c>
      <c r="AH18" s="39">
        <f>MAX(AH14:AH17)-AH19+1</f>
        <v>40305</v>
      </c>
      <c r="AI18" s="39">
        <f>MAX(AI14:AI17)-AI19+1</f>
        <v>4</v>
      </c>
      <c r="AK18" s="39">
        <f>MAX(AK14:AK17)-MIN(AK14:AK17)+1</f>
        <v>5</v>
      </c>
      <c r="AL18" s="39">
        <f>MAX(AL14:AL17)-MIN(AL14:AL17)+1</f>
        <v>1</v>
      </c>
      <c r="AP18" s="39">
        <f>MAX(AP14:AP17)-MIN(AP14:AP17)+1</f>
        <v>1</v>
      </c>
      <c r="AQ18" s="39">
        <f>MAX(AQ14:AQ17)-MIN(AQ14:AQ17)+1</f>
        <v>1</v>
      </c>
      <c r="AR18" s="39">
        <f>MAX(AR14:AR17)-MIN(AR14:AR17)+1</f>
        <v>1</v>
      </c>
      <c r="AS18" s="39">
        <f>MAX(AS14:AS17)-MIN(AS14:AS17)+1</f>
        <v>1</v>
      </c>
      <c r="AT18" s="39">
        <f>MAX(AT14:AT17)-MIN(AT14:AT17)+1</f>
        <v>1</v>
      </c>
      <c r="AY18" s="75">
        <v>53</v>
      </c>
      <c r="AZ18" s="76" t="str">
        <f>AO32</f>
        <v>Brasil</v>
      </c>
      <c r="BA18" s="77">
        <v>2</v>
      </c>
      <c r="BB18" s="78"/>
      <c r="BC18" s="67"/>
      <c r="BD18" s="67"/>
      <c r="BE18" s="67"/>
      <c r="BF18" s="67"/>
      <c r="BG18" s="67"/>
      <c r="BH18" s="67"/>
      <c r="BI18" s="87"/>
      <c r="BJ18" s="67"/>
      <c r="BK18" s="67"/>
      <c r="BL18" s="67"/>
      <c r="BM18" s="67"/>
      <c r="BN18" s="67"/>
      <c r="BO18" s="87"/>
      <c r="BP18" s="67"/>
      <c r="BQ18" s="67"/>
      <c r="BR18" s="67"/>
      <c r="BS18" s="67"/>
      <c r="BT18" s="67"/>
    </row>
    <row ht="15" customHeight="1" r="19">
      <c r="A19" s="56">
        <v>13</v>
      </c>
      <c r="B19" s="57" t="str">
        <f>INDEX(T,18+INT(MOD(R19-1,7)),lang)</f>
        <v>Mon</v>
      </c>
      <c r="C19" s="58" t="str">
        <f>INDEX(T,24+MONTH(R19),lang) &amp; " " &amp; DAY(R19) &amp; ", " &amp; YEAR(R19)</f>
        <v xml:space="preserve">Jun 18, 2018</v>
      </c>
      <c r="D19" s="59">
        <f>TIME(HOUR(R19),MINUTE(R19),0)</f>
        <v>0.45833333333333298</v>
      </c>
      <c r="E19" s="60" t="str">
        <f>AB44</f>
        <v>Bélgica</v>
      </c>
      <c r="F19" s="61">
        <v>3</v>
      </c>
      <c r="G19" s="62">
        <v>0</v>
      </c>
      <c r="H19" s="63" t="str">
        <f>AB45</f>
        <v>Panamá</v>
      </c>
      <c r="J19" s="36"/>
      <c r="K19" s="37"/>
      <c r="L19" s="37"/>
      <c r="M19" s="37"/>
      <c r="N19" s="37"/>
      <c r="O19" s="37"/>
      <c r="P19" s="37"/>
      <c r="R19" s="39">
        <f>DATE(2018,6,18)+TIME(4,0,0)+gmt_delta</f>
        <v>43269.458333333299</v>
      </c>
      <c r="S19" s="40" t="str">
        <f>IF(OR(F19="",G19=""),"",IF(F19&gt;G19,E19&amp;"_win",IF(F19&lt;G19,E19&amp;"_lose",E19&amp;"_draw")))</f>
        <v>Bélgica_win</v>
      </c>
      <c r="T19" s="40" t="str">
        <f>IF(S19="","",IF(F19&lt;G19,H19&amp;"_win",IF(F19&gt;G19,H19&amp;"_lose",H19&amp;"_draw")))</f>
        <v>Panamá_lose</v>
      </c>
      <c r="U19" s="41">
        <f>IF(S19="",0,IF(VLOOKUP(E19,$AB$8:$AK$53,7,0)=VLOOKUP(H19,$AB$8:$AK$53,7,0),1,0))</f>
        <v>0</v>
      </c>
      <c r="V19" s="39">
        <f>U19*F19</f>
        <v>0</v>
      </c>
      <c r="W19" s="39">
        <f>U19*G19</f>
        <v>0</v>
      </c>
      <c r="X19" s="39">
        <f>IF(OR(E19=my_team,H19=my_team),1,0)</f>
        <v>0</v>
      </c>
      <c r="Y19" s="39">
        <f>IF(OR(F19="",G19=""),"",IF(F19&gt;G19,1,IF(F19&lt;G19,-1,0)))</f>
        <v>1</v>
      </c>
      <c r="AH19" s="39">
        <f>MIN(AH14:AH17)</f>
        <v>9802</v>
      </c>
      <c r="AI19" s="39">
        <f>MIN(AI14:AI17)</f>
        <v>-2</v>
      </c>
      <c r="AY19" s="75"/>
      <c r="AZ19" s="79" t="str">
        <f>AO39</f>
        <v>México</v>
      </c>
      <c r="BA19" s="80">
        <v>0</v>
      </c>
      <c r="BB19" s="81"/>
      <c r="BC19" s="82"/>
      <c r="BD19" s="67"/>
      <c r="BE19" s="67" t="str">
        <f>INDEX(T,24+MONTH(R70),lang) &amp; " " &amp; DAY(R70) &amp; ", " &amp; YEAR(R70) &amp; "   " &amp; TEXT(TIME(HOUR(R70),MINUTE(R70),0),"hh:mm")</f>
        <v xml:space="preserve">Jul 6, 2018   14:00</v>
      </c>
      <c r="BF19" s="67"/>
      <c r="BG19" s="67"/>
      <c r="BH19" s="83"/>
      <c r="BI19" s="87"/>
      <c r="BJ19" s="67"/>
      <c r="BK19" s="67"/>
      <c r="BL19" s="67"/>
      <c r="BM19" s="67"/>
      <c r="BN19" s="67"/>
      <c r="BO19" s="87"/>
      <c r="BP19" s="67"/>
      <c r="BQ19" s="67"/>
      <c r="BR19" s="67"/>
      <c r="BS19" s="67"/>
      <c r="BT19" s="67"/>
    </row>
    <row ht="15" customHeight="1" r="20">
      <c r="A20" s="56">
        <v>14</v>
      </c>
      <c r="B20" s="57" t="str">
        <f>INDEX(T,18+INT(MOD(R20-1,7)),lang)</f>
        <v>Mon</v>
      </c>
      <c r="C20" s="58" t="str">
        <f>INDEX(T,24+MONTH(R20),lang) &amp; " " &amp; DAY(R20) &amp; ", " &amp; YEAR(R20)</f>
        <v xml:space="preserve">Jun 18, 2018</v>
      </c>
      <c r="D20" s="59">
        <f>TIME(HOUR(R20),MINUTE(R20),0)</f>
        <v>0.58333333333333304</v>
      </c>
      <c r="E20" s="60" t="str">
        <f>AB46</f>
        <v>Túnez</v>
      </c>
      <c r="F20" s="61">
        <v>1</v>
      </c>
      <c r="G20" s="62">
        <v>2</v>
      </c>
      <c r="H20" s="63" t="str">
        <f>AB47</f>
        <v>Inglaterra</v>
      </c>
      <c r="J20" s="64" t="str">
        <f>INDEX(T,9,lang) &amp; " " &amp; "C"</f>
        <v xml:space="preserve">Grupo C</v>
      </c>
      <c r="K20" s="65" t="str">
        <f>INDEX(T,10,lang)</f>
        <v>J</v>
      </c>
      <c r="L20" s="65" t="str">
        <f>INDEX(T,11,lang)</f>
        <v>G</v>
      </c>
      <c r="M20" s="65" t="str">
        <f>INDEX(T,12,lang)</f>
        <v>DRAW</v>
      </c>
      <c r="N20" s="65" t="str">
        <f>INDEX(T,13,lang)</f>
        <v>P</v>
      </c>
      <c r="O20" s="65" t="str">
        <f>INDEX(T,14,lang)</f>
        <v xml:space="preserve">GF - GC</v>
      </c>
      <c r="P20" s="66" t="str">
        <f>INDEX(T,15,lang)</f>
        <v>PTS</v>
      </c>
      <c r="R20" s="39">
        <f>DATE(2018,6,18)+TIME(7,0,0)+gmt_delta</f>
        <v>43269.583333333299</v>
      </c>
      <c r="S20" s="40" t="str">
        <f>IF(OR(F20="",G20=""),"",IF(F20&gt;G20,E20&amp;"_win",IF(F20&lt;G20,E20&amp;"_lose",E20&amp;"_draw")))</f>
        <v>Túnez_lose</v>
      </c>
      <c r="T20" s="40" t="str">
        <f>IF(S20="","",IF(F20&lt;G20,H20&amp;"_win",IF(F20&gt;G20,H20&amp;"_lose",H20&amp;"_draw")))</f>
        <v>Inglaterra_win</v>
      </c>
      <c r="U20" s="41">
        <f>IF(S20="",0,IF(VLOOKUP(E20,$AB$8:$AK$53,7,0)=VLOOKUP(H20,$AB$8:$AK$53,7,0),1,0))</f>
        <v>0</v>
      </c>
      <c r="V20" s="39">
        <f>U20*F20</f>
        <v>0</v>
      </c>
      <c r="W20" s="39">
        <f>U20*G20</f>
        <v>0</v>
      </c>
      <c r="X20" s="39">
        <f>IF(OR(E20=my_team,H20=my_team),1,0)</f>
        <v>0</v>
      </c>
      <c r="Y20" s="39">
        <f>IF(OR(F20="",G20=""),"",IF(F20&gt;G20,1,IF(F20&lt;G20,-1,0)))</f>
        <v>-1</v>
      </c>
      <c r="AA20" s="39">
        <f>COUNTIF(AN20:AN23,CONCATENATE("&gt;=",AN20))</f>
        <v>1</v>
      </c>
      <c r="AB20" s="41" t="str">
        <f>VLOOKUP("France",T,lang,0)</f>
        <v>Francia</v>
      </c>
      <c r="AC20" s="39">
        <f>COUNTIF($S$7:$T$54,"=" &amp; AB20 &amp; "_win")</f>
        <v>2</v>
      </c>
      <c r="AD20" s="39">
        <f>COUNTIF($S$7:$T$54,"=" &amp; AB20 &amp; "_draw")</f>
        <v>1</v>
      </c>
      <c r="AE20" s="39">
        <f>COUNTIF($S$7:$T$54,"=" &amp; AB20 &amp; "_lose")</f>
        <v>0</v>
      </c>
      <c r="AF20" s="39">
        <f>SUMIF($E$7:$E$54,$AB20,$F$7:$F$54) + SUMIF($H$7:$H$54,$AB20,$G$7:$G$54)</f>
        <v>3</v>
      </c>
      <c r="AG20" s="39">
        <f>SUMIF($E$7:$E$54,$AB20,$G$7:$G$54) + SUMIF($H$7:$H$54,$AB20,$F$7:$F$54)</f>
        <v>1</v>
      </c>
      <c r="AH20" s="39">
        <f>(AF20-AG20)*100+AK20*10000+AF20</f>
        <v>70203</v>
      </c>
      <c r="AI20" s="39">
        <f>AF20-AG20</f>
        <v>2</v>
      </c>
      <c r="AJ20" s="39">
        <f>(AI20-AI25)/AI24</f>
        <v>0.83333333333333304</v>
      </c>
      <c r="AK20" s="39">
        <f>AC20*3+AD20</f>
        <v>7</v>
      </c>
      <c r="AL20" s="39">
        <f>AP20/AP24*1000+AQ20/AQ24*100+AT20/AT24*10+AR20/AR24</f>
        <v>0</v>
      </c>
      <c r="AM20" s="39">
        <f>VLOOKUP(AB20,db_fifarank,2,0)/2000000</f>
        <v>0.00059150000000000001</v>
      </c>
      <c r="AN20" s="41">
        <f>1000*AK20/AK24+100*AJ20+10*AF20/AF24+1*AL20/AL24+AM20</f>
        <v>1098.33392483333</v>
      </c>
      <c r="AO20" s="41" t="str">
        <f>IF(SUM(AC20:AE23)=12,J21,INDEX(T,74,lang))</f>
        <v>Francia</v>
      </c>
      <c r="AP20" s="39">
        <f>SUMPRODUCT(($S$7:$S$54=AB20&amp;"_win")*($U$7:$U$54))+SUMPRODUCT(($T$7:$T$54=AB20&amp;"_win")*($U$7:$U$54))</f>
        <v>0</v>
      </c>
      <c r="AQ20" s="39">
        <f>SUMPRODUCT(($S$7:$S$54=AB20&amp;"_draw")*($U$7:$U$54))+SUMPRODUCT(($T$7:$T$54=AB20&amp;"_draw")*($U$7:$U$54))</f>
        <v>0</v>
      </c>
      <c r="AR20" s="39">
        <f>SUMPRODUCT(($E$7:$E$54=AB20)*($U$7:$U$54)*($F$7:$F$54))+SUMPRODUCT(($H$7:$H$54=AB20)*($U$7:$U$54)*($G$7:$G$54))</f>
        <v>0</v>
      </c>
      <c r="AS20" s="39">
        <f>SUMPRODUCT(($E$7:$E$54=AB20)*($U$7:$U$54)*($G$7:$G$54))+SUMPRODUCT(($H$7:$H$54=AB20)*($U$7:$U$54)*($F$7:$F$54))</f>
        <v>0</v>
      </c>
      <c r="AT20" s="39">
        <f>AR20-AS20</f>
        <v>0</v>
      </c>
      <c r="AY20" s="67"/>
      <c r="AZ20" s="67"/>
      <c r="BA20" s="67"/>
      <c r="BB20" s="67"/>
      <c r="BC20" s="87"/>
      <c r="BD20" s="67"/>
      <c r="BE20" s="75">
        <v>58</v>
      </c>
      <c r="BF20" s="76" t="str">
        <f>T62</f>
        <v>Brasil</v>
      </c>
      <c r="BG20" s="77">
        <v>1</v>
      </c>
      <c r="BH20" s="78"/>
      <c r="BI20" s="89"/>
      <c r="BJ20" s="67"/>
      <c r="BK20" s="67"/>
      <c r="BL20" s="67"/>
      <c r="BM20" s="67"/>
      <c r="BN20" s="67"/>
      <c r="BO20" s="87"/>
      <c r="BP20" s="67"/>
      <c r="BQ20" s="67"/>
      <c r="BR20" s="67"/>
      <c r="BS20" s="67"/>
      <c r="BT20" s="67"/>
    </row>
    <row ht="15" customHeight="1" r="21">
      <c r="A21" s="56">
        <v>15</v>
      </c>
      <c r="B21" s="57" t="str">
        <f>INDEX(T,18+INT(MOD(R21-1,7)),lang)</f>
        <v>Tue</v>
      </c>
      <c r="C21" s="58" t="str">
        <f>INDEX(T,24+MONTH(R21),lang) &amp; " " &amp; DAY(R21) &amp; ", " &amp; YEAR(R21)</f>
        <v xml:space="preserve">Jun 19, 2018</v>
      </c>
      <c r="D21" s="59">
        <f>TIME(HOUR(R21),MINUTE(R21),0)</f>
        <v>0.45833333333333298</v>
      </c>
      <c r="E21" s="60" t="str">
        <f>AB50</f>
        <v>Polonia</v>
      </c>
      <c r="F21" s="61">
        <v>1</v>
      </c>
      <c r="G21" s="62">
        <v>2</v>
      </c>
      <c r="H21" s="63" t="str">
        <f>AB51</f>
        <v>Senegal</v>
      </c>
      <c r="J21" s="68" t="str">
        <f>VLOOKUP(1,AA20:AK23,2,0)</f>
        <v>Francia</v>
      </c>
      <c r="K21" s="69">
        <f>L21+M21+N21</f>
        <v>3</v>
      </c>
      <c r="L21" s="69">
        <f>VLOOKUP(1,AA20:AK23,3,0)</f>
        <v>2</v>
      </c>
      <c r="M21" s="69">
        <f>VLOOKUP(1,AA20:AK23,4,0)</f>
        <v>1</v>
      </c>
      <c r="N21" s="69">
        <f>VLOOKUP(1,AA20:AK23,5,0)</f>
        <v>0</v>
      </c>
      <c r="O21" s="69" t="str">
        <f>VLOOKUP(1,AA20:AK23,6,0) &amp; " - " &amp; VLOOKUP(1,AA20:AK23,7,0)</f>
        <v xml:space="preserve">3 - 1</v>
      </c>
      <c r="P21" s="70">
        <f>L21*3+M21</f>
        <v>7</v>
      </c>
      <c r="R21" s="39">
        <f>DATE(2018,6,19)+TIME(4,0,0)+gmt_delta</f>
        <v>43270.458333333299</v>
      </c>
      <c r="S21" s="40" t="str">
        <f>IF(OR(F21="",G21=""),"",IF(F21&gt;G21,E21&amp;"_win",IF(F21&lt;G21,E21&amp;"_lose",E21&amp;"_draw")))</f>
        <v>Polonia_lose</v>
      </c>
      <c r="T21" s="40" t="str">
        <f>IF(S21="","",IF(F21&lt;G21,H21&amp;"_win",IF(F21&gt;G21,H21&amp;"_lose",H21&amp;"_draw")))</f>
        <v>Senegal_win</v>
      </c>
      <c r="U21" s="41">
        <f>IF(S21="",0,IF(VLOOKUP(E21,$AB$8:$AK$53,7,0)=VLOOKUP(H21,$AB$8:$AK$53,7,0),1,0))</f>
        <v>0</v>
      </c>
      <c r="V21" s="39">
        <f>U21*F21</f>
        <v>0</v>
      </c>
      <c r="W21" s="39">
        <f>U21*G21</f>
        <v>0</v>
      </c>
      <c r="X21" s="39">
        <f>IF(OR(E21=my_team,H21=my_team),1,0)</f>
        <v>0</v>
      </c>
      <c r="Y21" s="39">
        <f>IF(OR(F21="",G21=""),"",IF(F21&gt;G21,1,IF(F21&lt;G21,-1,0)))</f>
        <v>-1</v>
      </c>
      <c r="AA21" s="39">
        <f>COUNTIF(AN20:AN23,CONCATENATE("&gt;=",AN21))</f>
        <v>4</v>
      </c>
      <c r="AB21" s="41" t="str">
        <f>VLOOKUP("Australia",T,lang,0)</f>
        <v>Australia</v>
      </c>
      <c r="AC21" s="39">
        <f>COUNTIF($S$7:$T$54,"=" &amp; AB21 &amp; "_win")</f>
        <v>0</v>
      </c>
      <c r="AD21" s="39">
        <f>COUNTIF($S$7:$T$54,"=" &amp; AB21 &amp; "_draw")</f>
        <v>1</v>
      </c>
      <c r="AE21" s="39">
        <f>COUNTIF($S$7:$T$54,"=" &amp; AB21 &amp; "_lose")</f>
        <v>2</v>
      </c>
      <c r="AF21" s="39">
        <f>SUMIF($E$7:$E$54,$AB21,$F$7:$F$54) + SUMIF($H$7:$H$54,$AB21,$G$7:$G$54)</f>
        <v>2</v>
      </c>
      <c r="AG21" s="39">
        <f>SUMIF($E$7:$E$54,$AB21,$G$7:$G$54) + SUMIF($H$7:$H$54,$AB21,$F$7:$F$54)</f>
        <v>5</v>
      </c>
      <c r="AH21" s="39">
        <f>(AF21-AG21)*100+AK21*10000+AF21</f>
        <v>9702</v>
      </c>
      <c r="AI21" s="39">
        <f>AF21-AG21</f>
        <v>-3</v>
      </c>
      <c r="AJ21" s="39">
        <f>(AI21-AI25)/AI24</f>
        <v>0</v>
      </c>
      <c r="AK21" s="39">
        <f>AC21*3+AD21</f>
        <v>1</v>
      </c>
      <c r="AL21" s="39">
        <f>AP21/AP24*1000+AQ21/AQ24*100+AT21/AT24*10+AR21/AR24</f>
        <v>0</v>
      </c>
      <c r="AM21" s="39">
        <f>VLOOKUP(AB21,db_fifarank,2,0)/2000000</f>
        <v>0.00037350000000000003</v>
      </c>
      <c r="AN21" s="41">
        <f>1000*AK21/AK24+100*AJ21+10*AF21/AF24+1*AL21/AL24+AM21</f>
        <v>152.857516357143</v>
      </c>
      <c r="AO21" s="41" t="str">
        <f>IF(SUM(AC20:AE23)=12,J22,INDEX(T,75,lang))</f>
        <v>Dinamarca</v>
      </c>
      <c r="AP21" s="39">
        <f>SUMPRODUCT(($S$7:$S$54=AB21&amp;"_win")*($U$7:$U$54))+SUMPRODUCT(($T$7:$T$54=AB21&amp;"_win")*($U$7:$U$54))</f>
        <v>0</v>
      </c>
      <c r="AQ21" s="39">
        <f>SUMPRODUCT(($S$7:$S$54=AB21&amp;"_draw")*($U$7:$U$54))+SUMPRODUCT(($T$7:$T$54=AB21&amp;"_draw")*($U$7:$U$54))</f>
        <v>0</v>
      </c>
      <c r="AR21" s="39">
        <f>SUMPRODUCT(($E$7:$E$54=AB21)*($U$7:$U$54)*($F$7:$F$54))+SUMPRODUCT(($H$7:$H$54=AB21)*($U$7:$U$54)*($G$7:$G$54))</f>
        <v>0</v>
      </c>
      <c r="AS21" s="39">
        <f>SUMPRODUCT(($E$7:$E$54=AB21)*($U$7:$U$54)*($G$7:$G$54))+SUMPRODUCT(($H$7:$H$54=AB21)*($U$7:$U$54)*($F$7:$F$54))</f>
        <v>0</v>
      </c>
      <c r="AT21" s="39">
        <f>AR21-AS21</f>
        <v>0</v>
      </c>
      <c r="AY21" s="67" t="str">
        <f>INDEX(T,24+MONTH(R63),lang) &amp; " " &amp; DAY(R63) &amp; ", " &amp; YEAR(R63) &amp; "   " &amp; TEXT(TIME(HOUR(R63),MINUTE(R63),0),"hh:mm")</f>
        <v xml:space="preserve">Jul 2, 2018   14:00</v>
      </c>
      <c r="AZ21" s="67"/>
      <c r="BA21" s="67"/>
      <c r="BB21" s="83"/>
      <c r="BC21" s="87"/>
      <c r="BD21" s="88"/>
      <c r="BE21" s="75"/>
      <c r="BF21" s="79" t="str">
        <f>T63</f>
        <v>Bélgica</v>
      </c>
      <c r="BG21" s="80">
        <v>2</v>
      </c>
      <c r="BH21" s="81"/>
      <c r="BI21" s="67"/>
      <c r="BJ21" s="67"/>
      <c r="BK21" s="67"/>
      <c r="BL21" s="67"/>
      <c r="BM21" s="67"/>
      <c r="BN21" s="67"/>
      <c r="BO21" s="87"/>
      <c r="BP21" s="67"/>
      <c r="BQ21" s="67"/>
      <c r="BR21" s="67"/>
      <c r="BS21" s="67"/>
      <c r="BT21" s="67"/>
    </row>
    <row ht="15" customHeight="1" r="22">
      <c r="A22" s="56">
        <v>16</v>
      </c>
      <c r="B22" s="57" t="str">
        <f>INDEX(T,18+INT(MOD(R22-1,7)),lang)</f>
        <v>Tue</v>
      </c>
      <c r="C22" s="58" t="str">
        <f>INDEX(T,24+MONTH(R22),lang) &amp; " " &amp; DAY(R22) &amp; ", " &amp; YEAR(R22)</f>
        <v xml:space="preserve">Jun 19, 2018</v>
      </c>
      <c r="D22" s="59">
        <f>TIME(HOUR(R22),MINUTE(R22),0)</f>
        <v>0.33333333333333298</v>
      </c>
      <c r="E22" s="60" t="str">
        <f>AB52</f>
        <v>Colombia</v>
      </c>
      <c r="F22" s="61">
        <v>1</v>
      </c>
      <c r="G22" s="62">
        <v>2</v>
      </c>
      <c r="H22" s="63" t="str">
        <f>AB53</f>
        <v>Japón</v>
      </c>
      <c r="J22" s="72" t="str">
        <f>VLOOKUP(2,AA20:AK23,2,0)</f>
        <v>Dinamarca</v>
      </c>
      <c r="K22" s="73">
        <f>L22+M22+N22</f>
        <v>3</v>
      </c>
      <c r="L22" s="73">
        <f>VLOOKUP(2,AA20:AK23,3,0)</f>
        <v>1</v>
      </c>
      <c r="M22" s="73">
        <f>VLOOKUP(2,AA20:AK23,4,0)</f>
        <v>2</v>
      </c>
      <c r="N22" s="73">
        <f>VLOOKUP(2,AA20:AK23,5,0)</f>
        <v>0</v>
      </c>
      <c r="O22" s="73" t="str">
        <f>VLOOKUP(2,AA20:AK23,6,0) &amp; " - " &amp; VLOOKUP(2,AA20:AK23,7,0)</f>
        <v xml:space="preserve">2 - 1</v>
      </c>
      <c r="P22" s="74">
        <f>L22*3+M22</f>
        <v>5</v>
      </c>
      <c r="R22" s="39">
        <f>DATE(2018,6,19)+TIME(1,0,0)+gmt_delta</f>
        <v>43270.333333333299</v>
      </c>
      <c r="S22" s="40" t="str">
        <f>IF(OR(F22="",G22=""),"",IF(F22&gt;G22,E22&amp;"_win",IF(F22&lt;G22,E22&amp;"_lose",E22&amp;"_draw")))</f>
        <v>Colombia_lose</v>
      </c>
      <c r="T22" s="40" t="str">
        <f>IF(S22="","",IF(F22&lt;G22,H22&amp;"_win",IF(F22&gt;G22,H22&amp;"_lose",H22&amp;"_draw")))</f>
        <v>Japón_win</v>
      </c>
      <c r="U22" s="41">
        <f>IF(S22="",0,IF(VLOOKUP(E22,$AB$8:$AK$53,7,0)=VLOOKUP(H22,$AB$8:$AK$53,7,0),1,0))</f>
        <v>0</v>
      </c>
      <c r="V22" s="39">
        <f>U22*F22</f>
        <v>0</v>
      </c>
      <c r="W22" s="39">
        <f>U22*G22</f>
        <v>0</v>
      </c>
      <c r="X22" s="39">
        <f>IF(OR(E22=my_team,H22=my_team),1,0)</f>
        <v>0</v>
      </c>
      <c r="Y22" s="39">
        <f>IF(OR(F22="",G22=""),"",IF(F22&gt;G22,1,IF(F22&lt;G22,-1,0)))</f>
        <v>-1</v>
      </c>
      <c r="AA22" s="39">
        <f>COUNTIF(AN20:AN23,CONCATENATE("&gt;=",AN22))</f>
        <v>3</v>
      </c>
      <c r="AB22" s="41" t="str">
        <f>VLOOKUP("Peru",T,lang,0)</f>
        <v>Perú</v>
      </c>
      <c r="AC22" s="39">
        <f>COUNTIF($S$7:$T$54,"=" &amp; AB22 &amp; "_win")</f>
        <v>1</v>
      </c>
      <c r="AD22" s="39">
        <f>COUNTIF($S$7:$T$54,"=" &amp; AB22 &amp; "_draw")</f>
        <v>0</v>
      </c>
      <c r="AE22" s="39">
        <f>COUNTIF($S$7:$T$54,"=" &amp; AB22 &amp; "_lose")</f>
        <v>2</v>
      </c>
      <c r="AF22" s="39">
        <f>SUMIF($E$7:$E$54,$AB22,$F$7:$F$54) + SUMIF($H$7:$H$54,$AB22,$G$7:$G$54)</f>
        <v>2</v>
      </c>
      <c r="AG22" s="39">
        <f>SUMIF($E$7:$E$54,$AB22,$G$7:$G$54) + SUMIF($H$7:$H$54,$AB22,$F$7:$F$54)</f>
        <v>2</v>
      </c>
      <c r="AH22" s="39">
        <f>(AF22-AG22)*100+AK22*10000+AF22</f>
        <v>30002</v>
      </c>
      <c r="AI22" s="39">
        <f>AF22-AG22</f>
        <v>0</v>
      </c>
      <c r="AJ22" s="39">
        <f>(AI22-AI25)/AI24</f>
        <v>0.5</v>
      </c>
      <c r="AK22" s="39">
        <f>AC22*3+AD22</f>
        <v>3</v>
      </c>
      <c r="AL22" s="39">
        <f>AP22/AP24*1000+AQ22/AQ24*100+AT22/AT24*10+AR22/AR24</f>
        <v>0</v>
      </c>
      <c r="AM22" s="39">
        <f>VLOOKUP(AB22,db_fifarank,2,0)/2000000</f>
        <v>0.00056400000000000005</v>
      </c>
      <c r="AN22" s="41">
        <f>1000*AK22/AK24+100*AJ22+10*AF22/AF24+1*AL22/AL24+AM22</f>
        <v>488.57199257142901</v>
      </c>
      <c r="AP22" s="39">
        <f>SUMPRODUCT(($S$7:$S$54=AB22&amp;"_win")*($U$7:$U$54))+SUMPRODUCT(($T$7:$T$54=AB22&amp;"_win")*($U$7:$U$54))</f>
        <v>0</v>
      </c>
      <c r="AQ22" s="39">
        <f>SUMPRODUCT(($S$7:$S$54=AB22&amp;"_draw")*($U$7:$U$54))+SUMPRODUCT(($T$7:$T$54=AB22&amp;"_draw")*($U$7:$U$54))</f>
        <v>0</v>
      </c>
      <c r="AR22" s="39">
        <f>SUMPRODUCT(($E$7:$E$54=AB22)*($U$7:$U$54)*($F$7:$F$54))+SUMPRODUCT(($H$7:$H$54=AB22)*($U$7:$U$54)*($G$7:$G$54))</f>
        <v>0</v>
      </c>
      <c r="AS22" s="39">
        <f>SUMPRODUCT(($E$7:$E$54=AB22)*($U$7:$U$54)*($G$7:$G$54))+SUMPRODUCT(($H$7:$H$54=AB22)*($U$7:$U$54)*($F$7:$F$54))</f>
        <v>0</v>
      </c>
      <c r="AT22" s="39">
        <f>AR22-AS22</f>
        <v>0</v>
      </c>
      <c r="AY22" s="75">
        <v>54</v>
      </c>
      <c r="AZ22" s="76" t="str">
        <f>AO44</f>
        <v>Bélgica</v>
      </c>
      <c r="BA22" s="77">
        <v>3</v>
      </c>
      <c r="BB22" s="78"/>
      <c r="BC22" s="89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87"/>
      <c r="BP22" s="67"/>
      <c r="BQ22" s="67" t="str">
        <f>INDEX(T,24+MONTH(R85),lang) &amp; " " &amp; DAY(R85) &amp; ", " &amp; YEAR(R85) &amp; "   " &amp; TEXT(TIME(HOUR(R85),MINUTE(R85),0),"hh:mm")</f>
        <v xml:space="preserve">Jul 15, 2018   11:00</v>
      </c>
      <c r="BR22" s="67"/>
      <c r="BS22" s="67"/>
      <c r="BT22" s="83"/>
    </row>
    <row ht="15" customHeight="1" r="23">
      <c r="A23" s="56">
        <v>17</v>
      </c>
      <c r="B23" s="57" t="str">
        <f>INDEX(T,18+INT(MOD(R23-1,7)),lang)</f>
        <v>Tue</v>
      </c>
      <c r="C23" s="58" t="str">
        <f>INDEX(T,24+MONTH(R23),lang) &amp; " " &amp; DAY(R23) &amp; ", " &amp; YEAR(R23)</f>
        <v xml:space="preserve">Jun 19, 2018</v>
      </c>
      <c r="D23" s="59">
        <f>TIME(HOUR(R23),MINUTE(R23),0)</f>
        <v>0.58333333333333304</v>
      </c>
      <c r="E23" s="60" t="str">
        <f>AB8</f>
        <v>Rusia</v>
      </c>
      <c r="F23" s="61">
        <v>3</v>
      </c>
      <c r="G23" s="62">
        <v>1</v>
      </c>
      <c r="H23" s="63" t="str">
        <f>AB10</f>
        <v>Egipto</v>
      </c>
      <c r="J23" s="72" t="str">
        <f>VLOOKUP(3,AA20:AK23,2,0)</f>
        <v>Perú</v>
      </c>
      <c r="K23" s="73">
        <f>L23+M23+N23</f>
        <v>3</v>
      </c>
      <c r="L23" s="73">
        <f>VLOOKUP(3,AA20:AK23,3,0)</f>
        <v>1</v>
      </c>
      <c r="M23" s="73">
        <f>VLOOKUP(3,AA20:AK23,4,0)</f>
        <v>0</v>
      </c>
      <c r="N23" s="73">
        <f>VLOOKUP(3,AA20:AK23,5,0)</f>
        <v>2</v>
      </c>
      <c r="O23" s="73" t="str">
        <f>VLOOKUP(3,AA20:AK23,6,0) &amp; " - " &amp; VLOOKUP(3,AA20:AK23,7,0)</f>
        <v xml:space="preserve">2 - 2</v>
      </c>
      <c r="P23" s="74">
        <f>L23*3+M23</f>
        <v>3</v>
      </c>
      <c r="R23" s="39">
        <f>DATE(2018,6,19)+TIME(7,0,0)+gmt_delta</f>
        <v>43270.583333333299</v>
      </c>
      <c r="S23" s="40" t="str">
        <f>IF(OR(F23="",G23=""),"",IF(F23&gt;G23,E23&amp;"_win",IF(F23&lt;G23,E23&amp;"_lose",E23&amp;"_draw")))</f>
        <v>Rusia_win</v>
      </c>
      <c r="T23" s="40" t="str">
        <f>IF(S23="","",IF(F23&lt;G23,H23&amp;"_win",IF(F23&gt;G23,H23&amp;"_lose",H23&amp;"_draw")))</f>
        <v>Egipto_lose</v>
      </c>
      <c r="U23" s="41">
        <f>IF(S23="",0,IF(VLOOKUP(E23,$AB$8:$AK$53,7,0)=VLOOKUP(H23,$AB$8:$AK$53,7,0),1,0))</f>
        <v>0</v>
      </c>
      <c r="V23" s="39">
        <f>U23*F23</f>
        <v>0</v>
      </c>
      <c r="W23" s="39">
        <f>U23*G23</f>
        <v>0</v>
      </c>
      <c r="X23" s="39">
        <f>IF(OR(E23=my_team,H23=my_team),1,0)</f>
        <v>0</v>
      </c>
      <c r="Y23" s="39">
        <f>IF(OR(F23="",G23=""),"",IF(F23&gt;G23,1,IF(F23&lt;G23,-1,0)))</f>
        <v>1</v>
      </c>
      <c r="AA23" s="39">
        <f>COUNTIF(AN20:AN23,CONCATENATE("&gt;=",AN23))</f>
        <v>2</v>
      </c>
      <c r="AB23" s="41" t="str">
        <f>VLOOKUP("Denmark",T,lang,0)</f>
        <v>Dinamarca</v>
      </c>
      <c r="AC23" s="39">
        <f>COUNTIF($S$7:$T$54,"=" &amp; AB23 &amp; "_win")</f>
        <v>1</v>
      </c>
      <c r="AD23" s="39">
        <f>COUNTIF($S$7:$T$54,"=" &amp; AB23 &amp; "_draw")</f>
        <v>2</v>
      </c>
      <c r="AE23" s="39">
        <f>COUNTIF($S$7:$T$54,"=" &amp; AB23 &amp; "_lose")</f>
        <v>0</v>
      </c>
      <c r="AF23" s="39">
        <f>SUMIF($E$7:$E$54,$AB23,$F$7:$F$54) + SUMIF($H$7:$H$54,$AB23,$G$7:$G$54)</f>
        <v>2</v>
      </c>
      <c r="AG23" s="39">
        <f>SUMIF($E$7:$E$54,$AB23,$G$7:$G$54) + SUMIF($H$7:$H$54,$AB23,$F$7:$F$54)</f>
        <v>1</v>
      </c>
      <c r="AH23" s="39">
        <f>(AF23-AG23)*100+AK23*10000+AF23</f>
        <v>50102</v>
      </c>
      <c r="AI23" s="39">
        <f>AF23-AG23</f>
        <v>1</v>
      </c>
      <c r="AJ23" s="39">
        <f>(AI23-AI25)/AI24</f>
        <v>0.66666666666666696</v>
      </c>
      <c r="AK23" s="39">
        <f>AC23*3+AD23</f>
        <v>5</v>
      </c>
      <c r="AL23" s="39">
        <f>AP23/AP24*1000+AQ23/AQ24*100+AT23/AT24*10+AR23/AR24</f>
        <v>0</v>
      </c>
      <c r="AM23" s="39">
        <f>VLOOKUP(AB23,db_fifarank,2,0)/2000000</f>
        <v>0.00054949999999999997</v>
      </c>
      <c r="AN23" s="41">
        <f>1000*AK23/AK24+100*AJ23+10*AF23/AF24+1*AL23/AL24+AM23</f>
        <v>790.952930452381</v>
      </c>
      <c r="AP23" s="39">
        <f>SUMPRODUCT(($S$7:$S$54=AB23&amp;"_win")*($U$7:$U$54))+SUMPRODUCT(($T$7:$T$54=AB23&amp;"_win")*($U$7:$U$54))</f>
        <v>0</v>
      </c>
      <c r="AQ23" s="39">
        <f>SUMPRODUCT(($S$7:$S$54=AB23&amp;"_draw")*($U$7:$U$54))+SUMPRODUCT(($T$7:$T$54=AB23&amp;"_draw")*($U$7:$U$54))</f>
        <v>0</v>
      </c>
      <c r="AR23" s="39">
        <f>SUMPRODUCT(($E$7:$E$54=AB23)*($U$7:$U$54)*($F$7:$F$54))+SUMPRODUCT(($H$7:$H$54=AB23)*($U$7:$U$54)*($G$7:$G$54))</f>
        <v>0</v>
      </c>
      <c r="AS23" s="39">
        <f>SUMPRODUCT(($E$7:$E$54=AB23)*($U$7:$U$54)*($G$7:$G$54))+SUMPRODUCT(($H$7:$H$54=AB23)*($U$7:$U$54)*($F$7:$F$54))</f>
        <v>0</v>
      </c>
      <c r="AT23" s="39">
        <f>AR23-AS23</f>
        <v>0</v>
      </c>
      <c r="AY23" s="75"/>
      <c r="AZ23" s="79" t="str">
        <f>AO51</f>
        <v>Japón</v>
      </c>
      <c r="BA23" s="80">
        <v>2</v>
      </c>
      <c r="BB23" s="81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87"/>
      <c r="BP23" s="67"/>
      <c r="BQ23" s="75">
        <v>64</v>
      </c>
      <c r="BR23" s="76" t="str">
        <f>T76</f>
        <v>Francia</v>
      </c>
      <c r="BS23" s="77">
        <v>4</v>
      </c>
      <c r="BT23" s="78"/>
    </row>
    <row ht="15" customHeight="1" r="24">
      <c r="A24" s="56">
        <v>18</v>
      </c>
      <c r="B24" s="57" t="str">
        <f>INDEX(T,18+INT(MOD(R24-1,7)),lang)</f>
        <v>Wed</v>
      </c>
      <c r="C24" s="58" t="str">
        <f>INDEX(T,24+MONTH(R24),lang) &amp; " " &amp; DAY(R24) &amp; ", " &amp; YEAR(R24)</f>
        <v xml:space="preserve">Jun 20, 2018</v>
      </c>
      <c r="D24" s="59">
        <f>TIME(HOUR(R24),MINUTE(R24),0)</f>
        <v>0.45833333333333298</v>
      </c>
      <c r="E24" s="60" t="str">
        <f>AB11</f>
        <v>Uruguay</v>
      </c>
      <c r="F24" s="61">
        <v>1</v>
      </c>
      <c r="G24" s="62">
        <v>0</v>
      </c>
      <c r="H24" s="63" t="str">
        <f>AB9</f>
        <v xml:space="preserve">Arabia Saudita</v>
      </c>
      <c r="J24" s="84" t="str">
        <f>VLOOKUP(4,AA20:AK23,2,0)</f>
        <v>Australia</v>
      </c>
      <c r="K24" s="85">
        <f>L24+M24+N24</f>
        <v>3</v>
      </c>
      <c r="L24" s="85">
        <f>VLOOKUP(4,AA20:AK23,3,0)</f>
        <v>0</v>
      </c>
      <c r="M24" s="85">
        <f>VLOOKUP(4,AA20:AK23,4,0)</f>
        <v>1</v>
      </c>
      <c r="N24" s="85">
        <f>VLOOKUP(4,AA20:AK23,5,0)</f>
        <v>2</v>
      </c>
      <c r="O24" s="85" t="str">
        <f>VLOOKUP(4,AA20:AK23,6,0) &amp; " - " &amp; VLOOKUP(4,AA20:AK23,7,0)</f>
        <v xml:space="preserve">2 - 5</v>
      </c>
      <c r="P24" s="86">
        <f>L24*3+M24</f>
        <v>1</v>
      </c>
      <c r="R24" s="39">
        <f>DATE(2018,6,20)+TIME(4,0,0)+gmt_delta</f>
        <v>43271.458333333299</v>
      </c>
      <c r="S24" s="40" t="str">
        <f>IF(OR(F24="",G24=""),"",IF(F24&gt;G24,E24&amp;"_win",IF(F24&lt;G24,E24&amp;"_lose",E24&amp;"_draw")))</f>
        <v>Uruguay_win</v>
      </c>
      <c r="T24" s="40" t="str">
        <f>IF(S24="","",IF(F24&lt;G24,H24&amp;"_win",IF(F24&gt;G24,H24&amp;"_lose",H24&amp;"_draw")))</f>
        <v xml:space="preserve">Arabia Saudita_lose</v>
      </c>
      <c r="U24" s="41">
        <f>IF(S24="",0,IF(VLOOKUP(E24,$AB$8:$AK$53,7,0)=VLOOKUP(H24,$AB$8:$AK$53,7,0),1,0))</f>
        <v>0</v>
      </c>
      <c r="V24" s="39">
        <f>U24*F24</f>
        <v>0</v>
      </c>
      <c r="W24" s="39">
        <f>U24*G24</f>
        <v>0</v>
      </c>
      <c r="X24" s="39">
        <f>IF(OR(E24=my_team,H24=my_team),1,0)</f>
        <v>0</v>
      </c>
      <c r="Y24" s="39">
        <f>IF(OR(F24="",G24=""),"",IF(F24&gt;G24,1,IF(F24&lt;G24,-1,0)))</f>
        <v>1</v>
      </c>
      <c r="AC24" s="39">
        <f>MAX(AC20:AC23)-MIN(AC20:AC23)+1</f>
        <v>3</v>
      </c>
      <c r="AD24" s="39">
        <f>MAX(AD20:AD23)-MIN(AD20:AD23)+1</f>
        <v>3</v>
      </c>
      <c r="AE24" s="39">
        <f>MAX(AE20:AE23)-MIN(AE20:AE23)+1</f>
        <v>3</v>
      </c>
      <c r="AF24" s="39">
        <f>MAX(AF20:AF23)-MIN(AF20:AF23)+1</f>
        <v>2</v>
      </c>
      <c r="AG24" s="39">
        <f>MAX(AG20:AG23)-MIN(AG20:AG23)+1</f>
        <v>5</v>
      </c>
      <c r="AH24" s="39">
        <f>MAX(AH20:AH23)-AH25+1</f>
        <v>60502</v>
      </c>
      <c r="AI24" s="39">
        <f>MAX(AI20:AI23)-AI25+1</f>
        <v>6</v>
      </c>
      <c r="AK24" s="39">
        <f>MAX(AK20:AK23)-MIN(AK20:AK23)+1</f>
        <v>7</v>
      </c>
      <c r="AL24" s="39">
        <f>MAX(AL20:AL23)-MIN(AL20:AL23)+1</f>
        <v>1</v>
      </c>
      <c r="AP24" s="39">
        <f>MAX(AP20:AP23)-MIN(AP20:AP23)+1</f>
        <v>1</v>
      </c>
      <c r="AQ24" s="39">
        <f>MAX(AQ20:AQ23)-MIN(AQ20:AQ23)+1</f>
        <v>1</v>
      </c>
      <c r="AR24" s="39">
        <f>MAX(AR20:AR23)-MIN(AR20:AR23)+1</f>
        <v>1</v>
      </c>
      <c r="AS24" s="39">
        <f>MAX(AS20:AS23)-MIN(AS20:AS23)+1</f>
        <v>1</v>
      </c>
      <c r="AT24" s="39">
        <f>MAX(AT20:AT23)-MIN(AT20:AT23)+1</f>
        <v>1</v>
      </c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87"/>
      <c r="BP24" s="88"/>
      <c r="BQ24" s="75"/>
      <c r="BR24" s="79" t="str">
        <f>T77</f>
        <v>Croacia</v>
      </c>
      <c r="BS24" s="80">
        <v>2</v>
      </c>
      <c r="BT24" s="81"/>
    </row>
    <row ht="15" customHeight="1" r="25">
      <c r="A25" s="56">
        <v>19</v>
      </c>
      <c r="B25" s="57" t="str">
        <f>INDEX(T,18+INT(MOD(R25-1,7)),lang)</f>
        <v>Wed</v>
      </c>
      <c r="C25" s="58" t="str">
        <f>INDEX(T,24+MONTH(R25),lang) &amp; " " &amp; DAY(R25) &amp; ", " &amp; YEAR(R25)</f>
        <v xml:space="preserve">Jun 20, 2018</v>
      </c>
      <c r="D25" s="59">
        <f>TIME(HOUR(R25),MINUTE(R25),0)</f>
        <v>0.33333333333333298</v>
      </c>
      <c r="E25" s="60" t="str">
        <f>AB14</f>
        <v>Portugal</v>
      </c>
      <c r="F25" s="61">
        <v>1</v>
      </c>
      <c r="G25" s="62">
        <v>0</v>
      </c>
      <c r="H25" s="63" t="str">
        <f>AB16</f>
        <v>Marruecos</v>
      </c>
      <c r="J25" s="36"/>
      <c r="K25" s="37"/>
      <c r="L25" s="37"/>
      <c r="M25" s="37"/>
      <c r="N25" s="37"/>
      <c r="O25" s="37"/>
      <c r="P25" s="37"/>
      <c r="R25" s="39">
        <f>DATE(2018,6,20)+TIME(1,0,0)+gmt_delta</f>
        <v>43271.333333333299</v>
      </c>
      <c r="S25" s="40" t="str">
        <f>IF(OR(F25="",G25=""),"",IF(F25&gt;G25,E25&amp;"_win",IF(F25&lt;G25,E25&amp;"_lose",E25&amp;"_draw")))</f>
        <v>Portugal_win</v>
      </c>
      <c r="T25" s="40" t="str">
        <f>IF(S25="","",IF(F25&lt;G25,H25&amp;"_win",IF(F25&gt;G25,H25&amp;"_lose",H25&amp;"_draw")))</f>
        <v>Marruecos_lose</v>
      </c>
      <c r="U25" s="41">
        <f>IF(S25="",0,IF(VLOOKUP(E25,$AB$8:$AK$53,7,0)=VLOOKUP(H25,$AB$8:$AK$53,7,0),1,0))</f>
        <v>0</v>
      </c>
      <c r="V25" s="39">
        <f>U25*F25</f>
        <v>0</v>
      </c>
      <c r="W25" s="39">
        <f>U25*G25</f>
        <v>0</v>
      </c>
      <c r="X25" s="39">
        <f>IF(OR(E25=my_team,H25=my_team),1,0)</f>
        <v>0</v>
      </c>
      <c r="Y25" s="39">
        <f>IF(OR(F25="",G25=""),"",IF(F25&gt;G25,1,IF(F25&lt;G25,-1,0)))</f>
        <v>1</v>
      </c>
      <c r="AH25" s="39">
        <f>MIN(AH20:AH23)</f>
        <v>9702</v>
      </c>
      <c r="AI25" s="39">
        <f>MIN(AI20:AI23)</f>
        <v>-3</v>
      </c>
      <c r="AY25" s="67" t="str">
        <f>INDEX(T,24+MONTH(R60),lang) &amp; " " &amp; DAY(R60) &amp; ", " &amp; YEAR(R60) &amp; "   " &amp; TEXT(TIME(HOUR(R60),MINUTE(R60),0),"hh:mm")</f>
        <v xml:space="preserve">Jul 1, 2018   10:00</v>
      </c>
      <c r="AZ25" s="67"/>
      <c r="BA25" s="67"/>
      <c r="BB25" s="91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87"/>
      <c r="BP25" s="67"/>
      <c r="BQ25" s="67"/>
      <c r="BR25" s="67"/>
      <c r="BS25" s="67"/>
      <c r="BT25" s="67"/>
    </row>
    <row ht="15" customHeight="1" r="26">
      <c r="A26" s="56">
        <v>20</v>
      </c>
      <c r="B26" s="57" t="str">
        <f>INDEX(T,18+INT(MOD(R26-1,7)),lang)</f>
        <v>Wed</v>
      </c>
      <c r="C26" s="58" t="str">
        <f>INDEX(T,24+MONTH(R26),lang) &amp; " " &amp; DAY(R26) &amp; ", " &amp; YEAR(R26)</f>
        <v xml:space="preserve">Jun 20, 2018</v>
      </c>
      <c r="D26" s="59">
        <f>TIME(HOUR(R26),MINUTE(R26),0)</f>
        <v>0.58333333333333304</v>
      </c>
      <c r="E26" s="60" t="str">
        <f>AB17</f>
        <v>Irán</v>
      </c>
      <c r="F26" s="61">
        <v>0</v>
      </c>
      <c r="G26" s="62">
        <v>1</v>
      </c>
      <c r="H26" s="63" t="str">
        <f>AB15</f>
        <v>España</v>
      </c>
      <c r="J26" s="64" t="str">
        <f>INDEX(T,9,lang) &amp; " " &amp; "D"</f>
        <v xml:space="preserve">Grupo D</v>
      </c>
      <c r="K26" s="65" t="str">
        <f>INDEX(T,10,lang)</f>
        <v>J</v>
      </c>
      <c r="L26" s="65" t="str">
        <f>INDEX(T,11,lang)</f>
        <v>G</v>
      </c>
      <c r="M26" s="65" t="str">
        <f>INDEX(T,12,lang)</f>
        <v>DRAW</v>
      </c>
      <c r="N26" s="65" t="str">
        <f>INDEX(T,13,lang)</f>
        <v>P</v>
      </c>
      <c r="O26" s="65" t="str">
        <f>INDEX(T,14,lang)</f>
        <v xml:space="preserve">GF - GC</v>
      </c>
      <c r="P26" s="66" t="str">
        <f>INDEX(T,15,lang)</f>
        <v>PTS</v>
      </c>
      <c r="R26" s="39">
        <f>DATE(2018,6,20)+TIME(7,0,0)+gmt_delta</f>
        <v>43271.583333333299</v>
      </c>
      <c r="S26" s="40" t="str">
        <f>IF(OR(F26="",G26=""),"",IF(F26&gt;G26,E26&amp;"_win",IF(F26&lt;G26,E26&amp;"_lose",E26&amp;"_draw")))</f>
        <v>Irán_lose</v>
      </c>
      <c r="T26" s="40" t="str">
        <f>IF(S26="","",IF(F26&lt;G26,H26&amp;"_win",IF(F26&gt;G26,H26&amp;"_lose",H26&amp;"_draw")))</f>
        <v>España_win</v>
      </c>
      <c r="U26" s="41">
        <f>IF(S26="",0,IF(VLOOKUP(E26,$AB$8:$AK$53,7,0)=VLOOKUP(H26,$AB$8:$AK$53,7,0),1,0))</f>
        <v>0</v>
      </c>
      <c r="V26" s="39">
        <f>U26*F26</f>
        <v>0</v>
      </c>
      <c r="W26" s="39">
        <f>U26*G26</f>
        <v>0</v>
      </c>
      <c r="X26" s="39">
        <f>IF(OR(E26=my_team,H26=my_team),1,0)</f>
        <v>0</v>
      </c>
      <c r="Y26" s="39">
        <f>IF(OR(F26="",G26=""),"",IF(F26&gt;G26,1,IF(F26&lt;G26,-1,0)))</f>
        <v>-1</v>
      </c>
      <c r="AA26" s="39">
        <f>COUNTIF(AN26:AN29,CONCATENATE("&gt;=",AN26))</f>
        <v>2</v>
      </c>
      <c r="AB26" s="41" t="str">
        <f>VLOOKUP("Argentina",T,lang,0)</f>
        <v>Argentina</v>
      </c>
      <c r="AC26" s="39">
        <f>COUNTIF($S$7:$T$54,"=" &amp; AB26 &amp; "_win")</f>
        <v>1</v>
      </c>
      <c r="AD26" s="39">
        <f>COUNTIF($S$7:$T$54,"=" &amp; AB26 &amp; "_draw")</f>
        <v>1</v>
      </c>
      <c r="AE26" s="39">
        <f>COUNTIF($S$7:$T$54,"=" &amp; AB26 &amp; "_lose")</f>
        <v>1</v>
      </c>
      <c r="AF26" s="39">
        <f>SUMIF($E$7:$E$54,$AB26,$F$7:$F$54) + SUMIF($H$7:$H$54,$AB26,$G$7:$G$54)</f>
        <v>3</v>
      </c>
      <c r="AG26" s="39">
        <f>SUMIF($E$7:$E$54,$AB26,$G$7:$G$54) + SUMIF($H$7:$H$54,$AB26,$F$7:$F$54)</f>
        <v>5</v>
      </c>
      <c r="AH26" s="39">
        <f>(AF26-AG26)*100+AK26*10000+AF26</f>
        <v>39803</v>
      </c>
      <c r="AI26" s="39">
        <f>AF26-AG26</f>
        <v>-2</v>
      </c>
      <c r="AJ26" s="39">
        <f>(AI26-AI31)/AI30</f>
        <v>0</v>
      </c>
      <c r="AK26" s="39">
        <f>AC26*3+AD26</f>
        <v>4</v>
      </c>
      <c r="AL26" s="39">
        <f>AP26/AP30*1000+AQ26/AQ30*100+AT26/AT30*10+AR26/AR30</f>
        <v>0</v>
      </c>
      <c r="AM26" s="39">
        <f>VLOOKUP(AB26,db_fifarank,2,0)/2000000</f>
        <v>0.00067400000000000001</v>
      </c>
      <c r="AN26" s="41">
        <f>1000*AK26/AK30+100*AJ26+10*AF26/AF30+1*AL26/AL30+AM26</f>
        <v>672.66734066666697</v>
      </c>
      <c r="AO26" s="41" t="str">
        <f>IF(SUM(AC26:AE29)=12,J27,INDEX(T,76,lang))</f>
        <v>Croacia</v>
      </c>
      <c r="AP26" s="39">
        <f>SUMPRODUCT(($S$7:$S$54=AB26&amp;"_win")*($U$7:$U$54))+SUMPRODUCT(($T$7:$T$54=AB26&amp;"_win")*($U$7:$U$54))</f>
        <v>0</v>
      </c>
      <c r="AQ26" s="39">
        <f>SUMPRODUCT(($S$7:$S$54=AB26&amp;"_draw")*($U$7:$U$54))+SUMPRODUCT(($T$7:$T$54=AB26&amp;"_draw")*($U$7:$U$54))</f>
        <v>0</v>
      </c>
      <c r="AR26" s="39">
        <f>SUMPRODUCT(($E$7:$E$54=AB26)*($U$7:$U$54)*($F$7:$F$54))+SUMPRODUCT(($H$7:$H$54=AB26)*($U$7:$U$54)*($G$7:$G$54))</f>
        <v>0</v>
      </c>
      <c r="AS26" s="39">
        <f>SUMPRODUCT(($E$7:$E$54=AB26)*($U$7:$U$54)*($G$7:$G$54))+SUMPRODUCT(($H$7:$H$54=AB26)*($U$7:$U$54)*($F$7:$F$54))</f>
        <v>0</v>
      </c>
      <c r="AT26" s="39">
        <f>AR26-AS26</f>
        <v>0</v>
      </c>
      <c r="AY26" s="75">
        <v>51</v>
      </c>
      <c r="AZ26" s="76" t="str">
        <f>AO14</f>
        <v>España</v>
      </c>
      <c r="BA26" s="77">
        <v>1</v>
      </c>
      <c r="BB26" s="78">
        <v>3</v>
      </c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87"/>
      <c r="BP26" s="67"/>
      <c r="BQ26" s="67"/>
      <c r="BR26" s="67"/>
      <c r="BS26" s="67"/>
      <c r="BT26" s="67"/>
    </row>
    <row ht="15" customHeight="1" r="27">
      <c r="A27" s="56">
        <v>21</v>
      </c>
      <c r="B27" s="57" t="str">
        <f>INDEX(T,18+INT(MOD(R27-1,7)),lang)</f>
        <v>Thu</v>
      </c>
      <c r="C27" s="58" t="str">
        <f>INDEX(T,24+MONTH(R27),lang) &amp; " " &amp; DAY(R27) &amp; ", " &amp; YEAR(R27)</f>
        <v xml:space="preserve">Jun 21, 2018</v>
      </c>
      <c r="D27" s="59">
        <f>TIME(HOUR(R27),MINUTE(R27),0)</f>
        <v>0.45833333333333298</v>
      </c>
      <c r="E27" s="60" t="str">
        <f>AB20</f>
        <v>Francia</v>
      </c>
      <c r="F27" s="61">
        <v>1</v>
      </c>
      <c r="G27" s="62">
        <v>0</v>
      </c>
      <c r="H27" s="63" t="str">
        <f>AB22</f>
        <v>Perú</v>
      </c>
      <c r="J27" s="68" t="str">
        <f>VLOOKUP(1,AA26:AK29,2,0)</f>
        <v>Croacia</v>
      </c>
      <c r="K27" s="69">
        <f>L27+M27+N27</f>
        <v>3</v>
      </c>
      <c r="L27" s="69">
        <f>VLOOKUP(1,AA26:AK29,3,0)</f>
        <v>2</v>
      </c>
      <c r="M27" s="69">
        <f>VLOOKUP(1,AA26:AK29,4,0)</f>
        <v>1</v>
      </c>
      <c r="N27" s="69">
        <f>VLOOKUP(1,AA26:AK29,5,0)</f>
        <v>0</v>
      </c>
      <c r="O27" s="69" t="str">
        <f>VLOOKUP(1,AA26:AK29,6,0) &amp; " - " &amp; VLOOKUP(1,AA26:AK29,7,0)</f>
        <v xml:space="preserve">6 - 1</v>
      </c>
      <c r="P27" s="70">
        <f>L27*3+M27</f>
        <v>7</v>
      </c>
      <c r="R27" s="39">
        <f>DATE(2018,6,21)+TIME(4,0,0)+gmt_delta</f>
        <v>43272.458333333299</v>
      </c>
      <c r="S27" s="40" t="str">
        <f>IF(OR(F27="",G27=""),"",IF(F27&gt;G27,E27&amp;"_win",IF(F27&lt;G27,E27&amp;"_lose",E27&amp;"_draw")))</f>
        <v>Francia_win</v>
      </c>
      <c r="T27" s="40" t="str">
        <f>IF(S27="","",IF(F27&lt;G27,H27&amp;"_win",IF(F27&gt;G27,H27&amp;"_lose",H27&amp;"_draw")))</f>
        <v>Perú_lose</v>
      </c>
      <c r="U27" s="41">
        <f>IF(S27="",0,IF(VLOOKUP(E27,$AB$8:$AK$53,7,0)=VLOOKUP(H27,$AB$8:$AK$53,7,0),1,0))</f>
        <v>0</v>
      </c>
      <c r="V27" s="39">
        <f>U27*F27</f>
        <v>0</v>
      </c>
      <c r="W27" s="39">
        <f>U27*G27</f>
        <v>0</v>
      </c>
      <c r="X27" s="39">
        <f>IF(OR(E27=my_team,H27=my_team),1,0)</f>
        <v>0</v>
      </c>
      <c r="Y27" s="39">
        <f>IF(OR(F27="",G27=""),"",IF(F27&gt;G27,1,IF(F27&lt;G27,-1,0)))</f>
        <v>1</v>
      </c>
      <c r="AA27" s="39">
        <f>COUNTIF(AN26:AN29,CONCATENATE("&gt;=",AN27))</f>
        <v>4</v>
      </c>
      <c r="AB27" s="41" t="str">
        <f>VLOOKUP("Iceland",T,lang,0)</f>
        <v>Islandia</v>
      </c>
      <c r="AC27" s="39">
        <f>COUNTIF($S$7:$T$54,"=" &amp; AB27 &amp; "_win")</f>
        <v>0</v>
      </c>
      <c r="AD27" s="39">
        <f>COUNTIF($S$7:$T$54,"=" &amp; AB27 &amp; "_draw")</f>
        <v>2</v>
      </c>
      <c r="AE27" s="39">
        <f>COUNTIF($S$7:$T$54,"=" &amp; AB27 &amp; "_lose")</f>
        <v>1</v>
      </c>
      <c r="AF27" s="39">
        <f>SUMIF($E$7:$E$54,$AB27,$F$7:$F$54) + SUMIF($H$7:$H$54,$AB27,$G$7:$G$54)</f>
        <v>2</v>
      </c>
      <c r="AG27" s="39">
        <f>SUMIF($E$7:$E$54,$AB27,$G$7:$G$54) + SUMIF($H$7:$H$54,$AB27,$F$7:$F$54)</f>
        <v>4</v>
      </c>
      <c r="AH27" s="39">
        <f>(AF27-AG27)*100+AK27*10000+AF27</f>
        <v>19802</v>
      </c>
      <c r="AI27" s="39">
        <f>AF27-AG27</f>
        <v>-2</v>
      </c>
      <c r="AJ27" s="39">
        <f>(AI27-AI31)/AI30</f>
        <v>0</v>
      </c>
      <c r="AK27" s="39">
        <f>AC27*3+AD27</f>
        <v>2</v>
      </c>
      <c r="AL27" s="39">
        <f>AP27/AP30*1000+AQ27/AQ30*100+AT27/AT30*10+AR27/AR30</f>
        <v>0</v>
      </c>
      <c r="AM27" s="39">
        <f>VLOOKUP(AB27,db_fifarank,2,0)/2000000</f>
        <v>0.000455</v>
      </c>
      <c r="AN27" s="41">
        <f>1000*AK27/AK30+100*AJ27+10*AF27/AF30+1*AL27/AL30+AM27</f>
        <v>337.33378833333302</v>
      </c>
      <c r="AO27" s="41" t="str">
        <f>IF(SUM(AC26:AE29)=12,J28,INDEX(T,77,lang))</f>
        <v>Argentina</v>
      </c>
      <c r="AP27" s="39">
        <f>SUMPRODUCT(($S$7:$S$54=AB27&amp;"_win")*($U$7:$U$54))+SUMPRODUCT(($T$7:$T$54=AB27&amp;"_win")*($U$7:$U$54))</f>
        <v>0</v>
      </c>
      <c r="AQ27" s="39">
        <f>SUMPRODUCT(($S$7:$S$54=AB27&amp;"_draw")*($U$7:$U$54))+SUMPRODUCT(($T$7:$T$54=AB27&amp;"_draw")*($U$7:$U$54))</f>
        <v>0</v>
      </c>
      <c r="AR27" s="39">
        <f>SUMPRODUCT(($E$7:$E$54=AB27)*($U$7:$U$54)*($F$7:$F$54))+SUMPRODUCT(($H$7:$H$54=AB27)*($U$7:$U$54)*($G$7:$G$54))</f>
        <v>0</v>
      </c>
      <c r="AS27" s="39">
        <f>SUMPRODUCT(($E$7:$E$54=AB27)*($U$7:$U$54)*($G$7:$G$54))+SUMPRODUCT(($H$7:$H$54=AB27)*($U$7:$U$54)*($F$7:$F$54))</f>
        <v>0</v>
      </c>
      <c r="AT27" s="39">
        <f>AR27-AS27</f>
        <v>0</v>
      </c>
      <c r="AY27" s="75"/>
      <c r="AZ27" s="79" t="str">
        <f>AO9</f>
        <v>Rusia</v>
      </c>
      <c r="BA27" s="80">
        <v>1</v>
      </c>
      <c r="BB27" s="81">
        <v>4</v>
      </c>
      <c r="BC27" s="82"/>
      <c r="BD27" s="67"/>
      <c r="BE27" s="67" t="str">
        <f>INDEX(T,24+MONTH(R71),lang) &amp; " " &amp; DAY(R71) &amp; ", " &amp; YEAR(R71) &amp; "   " &amp; TEXT(TIME(HOUR(R71),MINUTE(R71),0),"hh:mm")</f>
        <v xml:space="preserve">Jul 7, 2018   10:00</v>
      </c>
      <c r="BF27" s="67"/>
      <c r="BG27" s="67"/>
      <c r="BH27" s="83"/>
      <c r="BI27" s="67"/>
      <c r="BJ27" s="67"/>
      <c r="BK27" s="67"/>
      <c r="BL27" s="67"/>
      <c r="BM27" s="67"/>
      <c r="BN27" s="67"/>
      <c r="BO27" s="87"/>
      <c r="BP27" s="67"/>
      <c r="BQ27" s="67"/>
      <c r="BR27" s="67"/>
      <c r="BS27" s="67"/>
      <c r="BT27" s="67"/>
    </row>
    <row ht="15" customHeight="1" r="28">
      <c r="A28" s="56">
        <v>22</v>
      </c>
      <c r="B28" s="57" t="str">
        <f>INDEX(T,18+INT(MOD(R28-1,7)),lang)</f>
        <v>Thu</v>
      </c>
      <c r="C28" s="58" t="str">
        <f>INDEX(T,24+MONTH(R28),lang) &amp; " " &amp; DAY(R28) &amp; ", " &amp; YEAR(R28)</f>
        <v xml:space="preserve">Jun 21, 2018</v>
      </c>
      <c r="D28" s="59">
        <f>TIME(HOUR(R28),MINUTE(R28),0)</f>
        <v>0.33333333333333298</v>
      </c>
      <c r="E28" s="60" t="str">
        <f>AB23</f>
        <v>Dinamarca</v>
      </c>
      <c r="F28" s="61">
        <v>1</v>
      </c>
      <c r="G28" s="62">
        <v>1</v>
      </c>
      <c r="H28" s="63" t="str">
        <f>AB21</f>
        <v>Australia</v>
      </c>
      <c r="J28" s="72" t="str">
        <f>VLOOKUP(2,AA26:AK29,2,0)</f>
        <v>Argentina</v>
      </c>
      <c r="K28" s="73">
        <f>L28+M28+N28</f>
        <v>3</v>
      </c>
      <c r="L28" s="73">
        <f>VLOOKUP(2,AA26:AK29,3,0)</f>
        <v>1</v>
      </c>
      <c r="M28" s="73">
        <f>VLOOKUP(2,AA26:AK29,4,0)</f>
        <v>1</v>
      </c>
      <c r="N28" s="73">
        <f>VLOOKUP(2,AA26:AK29,5,0)</f>
        <v>1</v>
      </c>
      <c r="O28" s="73" t="str">
        <f>VLOOKUP(2,AA26:AK29,6,0) &amp; " - " &amp; VLOOKUP(2,AA26:AK29,7,0)</f>
        <v xml:space="preserve">3 - 5</v>
      </c>
      <c r="P28" s="74">
        <f>L28*3+M28</f>
        <v>4</v>
      </c>
      <c r="R28" s="39">
        <f>DATE(2018,6,21)+TIME(1,0,0)+gmt_delta</f>
        <v>43272.333333333299</v>
      </c>
      <c r="S28" s="40" t="str">
        <f>IF(OR(F28="",G28=""),"",IF(F28&gt;G28,E28&amp;"_win",IF(F28&lt;G28,E28&amp;"_lose",E28&amp;"_draw")))</f>
        <v>Dinamarca_draw</v>
      </c>
      <c r="T28" s="40" t="str">
        <f>IF(S28="","",IF(F28&lt;G28,H28&amp;"_win",IF(F28&gt;G28,H28&amp;"_lose",H28&amp;"_draw")))</f>
        <v>Australia_draw</v>
      </c>
      <c r="U28" s="41">
        <f>IF(S28="",0,IF(VLOOKUP(E28,$AB$8:$AK$53,7,0)=VLOOKUP(H28,$AB$8:$AK$53,7,0),1,0))</f>
        <v>0</v>
      </c>
      <c r="V28" s="39">
        <f>U28*F28</f>
        <v>0</v>
      </c>
      <c r="W28" s="39">
        <f>U28*G28</f>
        <v>0</v>
      </c>
      <c r="X28" s="39">
        <f>IF(OR(E28=my_team,H28=my_team),1,0)</f>
        <v>0</v>
      </c>
      <c r="Y28" s="39">
        <f>IF(OR(F28="",G28=""),"",IF(F28&gt;G28,1,IF(F28&lt;G28,-1,0)))</f>
        <v>0</v>
      </c>
      <c r="AA28" s="39">
        <f>COUNTIF(AN26:AN29,CONCATENATE("&gt;=",AN28))</f>
        <v>1</v>
      </c>
      <c r="AB28" s="41" t="str">
        <f>VLOOKUP("Croatia",T,lang,0)</f>
        <v>Croacia</v>
      </c>
      <c r="AC28" s="39">
        <f>COUNTIF($S$7:$T$54,"=" &amp; AB28 &amp; "_win")</f>
        <v>2</v>
      </c>
      <c r="AD28" s="39">
        <f>COUNTIF($S$7:$T$54,"=" &amp; AB28 &amp; "_draw")</f>
        <v>1</v>
      </c>
      <c r="AE28" s="39">
        <f>COUNTIF($S$7:$T$54,"=" &amp; AB28 &amp; "_lose")</f>
        <v>0</v>
      </c>
      <c r="AF28" s="39">
        <f>SUMIF($E$7:$E$54,$AB28,$F$7:$F$54) + SUMIF($H$7:$H$54,$AB28,$G$7:$G$54)</f>
        <v>6</v>
      </c>
      <c r="AG28" s="39">
        <f>SUMIF($E$7:$E$54,$AB28,$G$7:$G$54) + SUMIF($H$7:$H$54,$AB28,$F$7:$F$54)</f>
        <v>1</v>
      </c>
      <c r="AH28" s="39">
        <f>(AF28-AG28)*100+AK28*10000+AF28</f>
        <v>70506</v>
      </c>
      <c r="AI28" s="39">
        <f>AF28-AG28</f>
        <v>5</v>
      </c>
      <c r="AJ28" s="39">
        <f>(AI28-AI31)/AI30</f>
        <v>0.875</v>
      </c>
      <c r="AK28" s="39">
        <f>AC28*3+AD28</f>
        <v>7</v>
      </c>
      <c r="AL28" s="39">
        <f>AP28/AP30*1000+AQ28/AQ30*100+AT28/AT30*10+AR28/AR30</f>
        <v>0</v>
      </c>
      <c r="AM28" s="39">
        <f>VLOOKUP(AB28,db_fifarank,2,0)/2000000</f>
        <v>0.00050900000000000001</v>
      </c>
      <c r="AN28" s="41">
        <f>1000*AK28/AK30+100*AJ28+10*AF28/AF30+1*AL28/AL30+AM28</f>
        <v>1266.1671756666699</v>
      </c>
      <c r="AP28" s="39">
        <f>SUMPRODUCT(($S$7:$S$54=AB28&amp;"_win")*($U$7:$U$54))+SUMPRODUCT(($T$7:$T$54=AB28&amp;"_win")*($U$7:$U$54))</f>
        <v>0</v>
      </c>
      <c r="AQ28" s="39">
        <f>SUMPRODUCT(($S$7:$S$54=AB28&amp;"_draw")*($U$7:$U$54))+SUMPRODUCT(($T$7:$T$54=AB28&amp;"_draw")*($U$7:$U$54))</f>
        <v>0</v>
      </c>
      <c r="AR28" s="39">
        <f>SUMPRODUCT(($E$7:$E$54=AB28)*($U$7:$U$54)*($F$7:$F$54))+SUMPRODUCT(($H$7:$H$54=AB28)*($U$7:$U$54)*($G$7:$G$54))</f>
        <v>0</v>
      </c>
      <c r="AS28" s="39">
        <f>SUMPRODUCT(($E$7:$E$54=AB28)*($U$7:$U$54)*($G$7:$G$54))+SUMPRODUCT(($H$7:$H$54=AB28)*($U$7:$U$54)*($F$7:$F$54))</f>
        <v>0</v>
      </c>
      <c r="AT28" s="39">
        <f>AR28-AS28</f>
        <v>0</v>
      </c>
      <c r="AY28" s="67"/>
      <c r="AZ28" s="67"/>
      <c r="BA28" s="67"/>
      <c r="BB28" s="67"/>
      <c r="BC28" s="87"/>
      <c r="BD28" s="67"/>
      <c r="BE28" s="75">
        <v>59</v>
      </c>
      <c r="BF28" s="76" t="str">
        <f>T60</f>
        <v>Rusia</v>
      </c>
      <c r="BG28" s="77">
        <v>2</v>
      </c>
      <c r="BH28" s="78">
        <v>3</v>
      </c>
      <c r="BI28" s="67"/>
      <c r="BJ28" s="67"/>
      <c r="BK28" s="67"/>
      <c r="BL28" s="67"/>
      <c r="BM28" s="67"/>
      <c r="BN28" s="67"/>
      <c r="BO28" s="87"/>
      <c r="BP28" s="67"/>
      <c r="BQ28" s="67"/>
      <c r="BR28" s="67"/>
      <c r="BS28" s="67"/>
      <c r="BT28" s="67"/>
    </row>
    <row ht="15" customHeight="1" r="29">
      <c r="A29" s="56">
        <v>23</v>
      </c>
      <c r="B29" s="57" t="str">
        <f>INDEX(T,18+INT(MOD(R29-1,7)),lang)</f>
        <v>Thu</v>
      </c>
      <c r="C29" s="58" t="str">
        <f>INDEX(T,24+MONTH(R29),lang) &amp; " " &amp; DAY(R29) &amp; ", " &amp; YEAR(R29)</f>
        <v xml:space="preserve">Jun 21, 2018</v>
      </c>
      <c r="D29" s="59">
        <f>TIME(HOUR(R29),MINUTE(R29),0)</f>
        <v>0.58333333333333304</v>
      </c>
      <c r="E29" s="60" t="str">
        <f>AB26</f>
        <v>Argentina</v>
      </c>
      <c r="F29" s="61">
        <v>0</v>
      </c>
      <c r="G29" s="62">
        <v>3</v>
      </c>
      <c r="H29" s="63" t="str">
        <f>AB28</f>
        <v>Croacia</v>
      </c>
      <c r="J29" s="72" t="str">
        <f>VLOOKUP(3,AA26:AK29,2,0)</f>
        <v>Nigeria</v>
      </c>
      <c r="K29" s="73">
        <f>L29+M29+N29</f>
        <v>3</v>
      </c>
      <c r="L29" s="73">
        <f>VLOOKUP(3,AA26:AK29,3,0)</f>
        <v>1</v>
      </c>
      <c r="M29" s="73">
        <f>VLOOKUP(3,AA26:AK29,4,0)</f>
        <v>0</v>
      </c>
      <c r="N29" s="73">
        <f>VLOOKUP(3,AA26:AK29,5,0)</f>
        <v>2</v>
      </c>
      <c r="O29" s="73" t="str">
        <f>VLOOKUP(3,AA26:AK29,6,0) &amp; " - " &amp; VLOOKUP(3,AA26:AK29,7,0)</f>
        <v xml:space="preserve">3 - 4</v>
      </c>
      <c r="P29" s="74">
        <f>L29*3+M29</f>
        <v>3</v>
      </c>
      <c r="R29" s="39">
        <f>DATE(2018,6,21)+TIME(7,0,0)+gmt_delta</f>
        <v>43272.583333333299</v>
      </c>
      <c r="S29" s="40" t="str">
        <f>IF(OR(F29="",G29=""),"",IF(F29&gt;G29,E29&amp;"_win",IF(F29&lt;G29,E29&amp;"_lose",E29&amp;"_draw")))</f>
        <v>Argentina_lose</v>
      </c>
      <c r="T29" s="40" t="str">
        <f>IF(S29="","",IF(F29&lt;G29,H29&amp;"_win",IF(F29&gt;G29,H29&amp;"_lose",H29&amp;"_draw")))</f>
        <v>Croacia_win</v>
      </c>
      <c r="U29" s="41">
        <f>IF(S29="",0,IF(VLOOKUP(E29,$AB$8:$AK$53,7,0)=VLOOKUP(H29,$AB$8:$AK$53,7,0),1,0))</f>
        <v>0</v>
      </c>
      <c r="V29" s="39">
        <f>U29*F29</f>
        <v>0</v>
      </c>
      <c r="W29" s="39">
        <f>U29*G29</f>
        <v>0</v>
      </c>
      <c r="X29" s="39">
        <f>IF(OR(E29=my_team,H29=my_team),1,0)</f>
        <v>0</v>
      </c>
      <c r="Y29" s="39">
        <f>IF(OR(F29="",G29=""),"",IF(F29&gt;G29,1,IF(F29&lt;G29,-1,0)))</f>
        <v>-1</v>
      </c>
      <c r="AA29" s="39">
        <f>COUNTIF(AN26:AN29,CONCATENATE("&gt;=",AN29))</f>
        <v>3</v>
      </c>
      <c r="AB29" s="41" t="str">
        <f>VLOOKUP("Nigeria",T,lang,0)</f>
        <v>Nigeria</v>
      </c>
      <c r="AC29" s="39">
        <f>COUNTIF($S$7:$T$54,"=" &amp; AB29 &amp; "_win")</f>
        <v>1</v>
      </c>
      <c r="AD29" s="39">
        <f>COUNTIF($S$7:$T$54,"=" &amp; AB29 &amp; "_draw")</f>
        <v>0</v>
      </c>
      <c r="AE29" s="39">
        <f>COUNTIF($S$7:$T$54,"=" &amp; AB29 &amp; "_lose")</f>
        <v>2</v>
      </c>
      <c r="AF29" s="39">
        <f>SUMIF($E$7:$E$54,$AB29,$F$7:$F$54) + SUMIF($H$7:$H$54,$AB29,$G$7:$G$54)</f>
        <v>3</v>
      </c>
      <c r="AG29" s="39">
        <f>SUMIF($E$7:$E$54,$AB29,$G$7:$G$54) + SUMIF($H$7:$H$54,$AB29,$F$7:$F$54)</f>
        <v>4</v>
      </c>
      <c r="AH29" s="39">
        <f>(AF29-AG29)*100+AK29*10000+AF29</f>
        <v>29903</v>
      </c>
      <c r="AI29" s="39">
        <f>AF29-AG29</f>
        <v>-1</v>
      </c>
      <c r="AJ29" s="39">
        <f>(AI29-AI31)/AI30</f>
        <v>0.125</v>
      </c>
      <c r="AK29" s="39">
        <f>AC29*3+AD29</f>
        <v>3</v>
      </c>
      <c r="AL29" s="39">
        <f>AP29/AP30*1000+AQ29/AQ30*100+AT29/AT30*10+AR29/AR30</f>
        <v>0</v>
      </c>
      <c r="AM29" s="39">
        <f>VLOOKUP(AB29,db_fifarank,2,0)/2000000</f>
        <v>0.00032000000000000003</v>
      </c>
      <c r="AN29" s="41">
        <f>1000*AK29/AK30+100*AJ29+10*AF29/AF30+1*AL29/AL30+AM29</f>
        <v>518.50031999999999</v>
      </c>
      <c r="AP29" s="39">
        <f>SUMPRODUCT(($S$7:$S$54=AB29&amp;"_win")*($U$7:$U$54))+SUMPRODUCT(($T$7:$T$54=AB29&amp;"_win")*($U$7:$U$54))</f>
        <v>0</v>
      </c>
      <c r="AQ29" s="39">
        <f>SUMPRODUCT(($S$7:$S$54=AB29&amp;"_draw")*($U$7:$U$54))+SUMPRODUCT(($T$7:$T$54=AB29&amp;"_draw")*($U$7:$U$54))</f>
        <v>0</v>
      </c>
      <c r="AR29" s="39">
        <f>SUMPRODUCT(($E$7:$E$54=AB29)*($U$7:$U$54)*($F$7:$F$54))+SUMPRODUCT(($H$7:$H$54=AB29)*($U$7:$U$54)*($G$7:$G$54))</f>
        <v>0</v>
      </c>
      <c r="AS29" s="39">
        <f>SUMPRODUCT(($E$7:$E$54=AB29)*($U$7:$U$54)*($G$7:$G$54))+SUMPRODUCT(($H$7:$H$54=AB29)*($U$7:$U$54)*($F$7:$F$54))</f>
        <v>0</v>
      </c>
      <c r="AT29" s="39">
        <f>AR29-AS29</f>
        <v>0</v>
      </c>
      <c r="AY29" s="67" t="str">
        <f>INDEX(T,24+MONTH(R61),lang) &amp; " " &amp; DAY(R61) &amp; ", " &amp; YEAR(R61) &amp; "   " &amp; TEXT(TIME(HOUR(R61),MINUTE(R61),0),"hh:mm")</f>
        <v xml:space="preserve">Jul 1, 2018   14:00</v>
      </c>
      <c r="AZ29" s="67"/>
      <c r="BA29" s="67"/>
      <c r="BB29" s="83"/>
      <c r="BC29" s="87"/>
      <c r="BD29" s="88"/>
      <c r="BE29" s="75"/>
      <c r="BF29" s="79" t="str">
        <f>T61</f>
        <v>Croacia</v>
      </c>
      <c r="BG29" s="80">
        <v>2</v>
      </c>
      <c r="BH29" s="81">
        <v>4</v>
      </c>
      <c r="BI29" s="82"/>
      <c r="BJ29" s="67"/>
      <c r="BK29" s="67"/>
      <c r="BL29" s="67"/>
      <c r="BM29" s="67"/>
      <c r="BN29" s="67"/>
      <c r="BO29" s="87"/>
      <c r="BP29" s="67"/>
      <c r="BQ29" s="67"/>
      <c r="BR29" s="67"/>
      <c r="BS29" s="67"/>
      <c r="BT29" s="67"/>
    </row>
    <row ht="15" customHeight="1" r="30">
      <c r="A30" s="56">
        <v>24</v>
      </c>
      <c r="B30" s="57" t="str">
        <f>INDEX(T,18+INT(MOD(R30-1,7)),lang)</f>
        <v>Fri</v>
      </c>
      <c r="C30" s="58" t="str">
        <f>INDEX(T,24+MONTH(R30),lang) &amp; " " &amp; DAY(R30) &amp; ", " &amp; YEAR(R30)</f>
        <v xml:space="preserve">Jun 22, 2018</v>
      </c>
      <c r="D30" s="59">
        <f>TIME(HOUR(R30),MINUTE(R30),0)</f>
        <v>0.45833333333333298</v>
      </c>
      <c r="E30" s="60" t="str">
        <f>AB29</f>
        <v>Nigeria</v>
      </c>
      <c r="F30" s="61">
        <v>2</v>
      </c>
      <c r="G30" s="62">
        <v>0</v>
      </c>
      <c r="H30" s="63" t="str">
        <f>AB27</f>
        <v>Islandia</v>
      </c>
      <c r="J30" s="84" t="str">
        <f>VLOOKUP(4,AA26:AK29,2,0)</f>
        <v>Islandia</v>
      </c>
      <c r="K30" s="85">
        <f>L30+M30+N30</f>
        <v>3</v>
      </c>
      <c r="L30" s="85">
        <f>VLOOKUP(4,AA26:AK29,3,0)</f>
        <v>0</v>
      </c>
      <c r="M30" s="85">
        <f>VLOOKUP(4,AA26:AK29,4,0)</f>
        <v>2</v>
      </c>
      <c r="N30" s="85">
        <f>VLOOKUP(4,AA26:AK29,5,0)</f>
        <v>1</v>
      </c>
      <c r="O30" s="85" t="str">
        <f>VLOOKUP(4,AA26:AK29,6,0) &amp; " - " &amp; VLOOKUP(4,AA26:AK29,7,0)</f>
        <v xml:space="preserve">2 - 4</v>
      </c>
      <c r="P30" s="86">
        <f>L30*3+M30</f>
        <v>2</v>
      </c>
      <c r="R30" s="39">
        <f>DATE(2018,6,22)+TIME(4,0,0)+gmt_delta</f>
        <v>43273.458333333299</v>
      </c>
      <c r="S30" s="40" t="str">
        <f>IF(OR(F30="",G30=""),"",IF(F30&gt;G30,E30&amp;"_win",IF(F30&lt;G30,E30&amp;"_lose",E30&amp;"_draw")))</f>
        <v>Nigeria_win</v>
      </c>
      <c r="T30" s="40" t="str">
        <f>IF(S30="","",IF(F30&lt;G30,H30&amp;"_win",IF(F30&gt;G30,H30&amp;"_lose",H30&amp;"_draw")))</f>
        <v>Islandia_lose</v>
      </c>
      <c r="U30" s="41">
        <f>IF(S30="",0,IF(VLOOKUP(E30,$AB$8:$AK$53,7,0)=VLOOKUP(H30,$AB$8:$AK$53,7,0),1,0))</f>
        <v>0</v>
      </c>
      <c r="V30" s="39">
        <f>U30*F30</f>
        <v>0</v>
      </c>
      <c r="W30" s="39">
        <f>U30*G30</f>
        <v>0</v>
      </c>
      <c r="X30" s="39">
        <f>IF(OR(E30=my_team,H30=my_team),1,0)</f>
        <v>0</v>
      </c>
      <c r="Y30" s="39">
        <f>IF(OR(F30="",G30=""),"",IF(F30&gt;G30,1,IF(F30&lt;G30,-1,0)))</f>
        <v>1</v>
      </c>
      <c r="AC30" s="39">
        <f>MAX(AC26:AC29)-MIN(AC26:AC29)+1</f>
        <v>3</v>
      </c>
      <c r="AD30" s="39">
        <f>MAX(AD26:AD29)-MIN(AD26:AD29)+1</f>
        <v>3</v>
      </c>
      <c r="AE30" s="39">
        <f>MAX(AE26:AE29)-MIN(AE26:AE29)+1</f>
        <v>3</v>
      </c>
      <c r="AF30" s="39">
        <f>MAX(AF26:AF29)-MIN(AF26:AF29)+1</f>
        <v>5</v>
      </c>
      <c r="AG30" s="39">
        <f>MAX(AG26:AG29)-MIN(AG26:AG29)+1</f>
        <v>5</v>
      </c>
      <c r="AH30" s="39">
        <f>MAX(AH26:AH29)-AH31+1</f>
        <v>50705</v>
      </c>
      <c r="AI30" s="39">
        <f>MAX(AI26:AI29)-AI31+1</f>
        <v>8</v>
      </c>
      <c r="AK30" s="39">
        <f>MAX(AK26:AK29)-MIN(AK26:AK29)+1</f>
        <v>6</v>
      </c>
      <c r="AL30" s="39">
        <f>MAX(AL26:AL29)-MIN(AL26:AL29)+1</f>
        <v>1</v>
      </c>
      <c r="AP30" s="39">
        <f>MAX(AP26:AP29)-MIN(AP26:AP29)+1</f>
        <v>1</v>
      </c>
      <c r="AQ30" s="39">
        <f>MAX(AQ26:AQ29)-MIN(AQ26:AQ29)+1</f>
        <v>1</v>
      </c>
      <c r="AR30" s="39">
        <f>MAX(AR26:AR29)-MIN(AR26:AR29)+1</f>
        <v>1</v>
      </c>
      <c r="AS30" s="39">
        <f>MAX(AS26:AS29)-MIN(AS26:AS29)+1</f>
        <v>1</v>
      </c>
      <c r="AT30" s="39">
        <f>MAX(AT26:AT29)-MIN(AT26:AT29)+1</f>
        <v>1</v>
      </c>
      <c r="AY30" s="75">
        <v>52</v>
      </c>
      <c r="AZ30" s="76" t="str">
        <f>AO26</f>
        <v>Croacia</v>
      </c>
      <c r="BA30" s="77">
        <v>1</v>
      </c>
      <c r="BB30" s="78">
        <v>4</v>
      </c>
      <c r="BC30" s="89"/>
      <c r="BD30" s="67"/>
      <c r="BE30" s="67"/>
      <c r="BF30" s="67"/>
      <c r="BG30" s="67"/>
      <c r="BH30" s="67"/>
      <c r="BI30" s="87"/>
      <c r="BJ30" s="67"/>
      <c r="BK30" s="67"/>
      <c r="BL30" s="67"/>
      <c r="BM30" s="67"/>
      <c r="BN30" s="67"/>
      <c r="BO30" s="87"/>
      <c r="BP30" s="67"/>
      <c r="BQ30" s="67"/>
      <c r="BR30" s="67"/>
      <c r="BS30" s="67"/>
      <c r="BT30" s="67"/>
    </row>
    <row ht="15" customHeight="1" r="31">
      <c r="A31" s="56">
        <v>25</v>
      </c>
      <c r="B31" s="57" t="str">
        <f>INDEX(T,18+INT(MOD(R31-1,7)),lang)</f>
        <v>Fri</v>
      </c>
      <c r="C31" s="58" t="str">
        <f>INDEX(T,24+MONTH(R31),lang) &amp; " " &amp; DAY(R31) &amp; ", " &amp; YEAR(R31)</f>
        <v xml:space="preserve">Jun 22, 2018</v>
      </c>
      <c r="D31" s="59">
        <f>TIME(HOUR(R31),MINUTE(R31),0)</f>
        <v>0.33333333333333298</v>
      </c>
      <c r="E31" s="60" t="str">
        <f>AB32</f>
        <v>Brasil</v>
      </c>
      <c r="F31" s="61">
        <v>2</v>
      </c>
      <c r="G31" s="62">
        <v>0</v>
      </c>
      <c r="H31" s="63" t="str">
        <f>AB34</f>
        <v xml:space="preserve">Costa Rica</v>
      </c>
      <c r="R31" s="39">
        <f>DATE(2018,6,22)+TIME(1,0,0)+gmt_delta</f>
        <v>43273.333333333299</v>
      </c>
      <c r="S31" s="40" t="str">
        <f>IF(OR(F31="",G31=""),"",IF(F31&gt;G31,E31&amp;"_win",IF(F31&lt;G31,E31&amp;"_lose",E31&amp;"_draw")))</f>
        <v>Brasil_win</v>
      </c>
      <c r="T31" s="40" t="str">
        <f>IF(S31="","",IF(F31&lt;G31,H31&amp;"_win",IF(F31&gt;G31,H31&amp;"_lose",H31&amp;"_draw")))</f>
        <v xml:space="preserve">Costa Rica_lose</v>
      </c>
      <c r="U31" s="41">
        <f>IF(S31="",0,IF(VLOOKUP(E31,$AB$8:$AK$53,7,0)=VLOOKUP(H31,$AB$8:$AK$53,7,0),1,0))</f>
        <v>0</v>
      </c>
      <c r="V31" s="39">
        <f>U31*F31</f>
        <v>0</v>
      </c>
      <c r="W31" s="39">
        <f>U31*G31</f>
        <v>0</v>
      </c>
      <c r="X31" s="39">
        <f>IF(OR(E31=my_team,H31=my_team),1,0)</f>
        <v>0</v>
      </c>
      <c r="Y31" s="39">
        <f>IF(OR(F31="",G31=""),"",IF(F31&gt;G31,1,IF(F31&lt;G31,-1,0)))</f>
        <v>1</v>
      </c>
      <c r="AH31" s="39">
        <f>MIN(AH26:AH29)</f>
        <v>19802</v>
      </c>
      <c r="AI31" s="39">
        <f>MIN(AI26:AI29)</f>
        <v>-2</v>
      </c>
      <c r="AY31" s="75"/>
      <c r="AZ31" s="79" t="str">
        <f>AO21</f>
        <v>Dinamarca</v>
      </c>
      <c r="BA31" s="80">
        <v>1</v>
      </c>
      <c r="BB31" s="81">
        <v>3</v>
      </c>
      <c r="BC31" s="67"/>
      <c r="BD31" s="67"/>
      <c r="BE31" s="67"/>
      <c r="BF31" s="67"/>
      <c r="BG31" s="67"/>
      <c r="BH31" s="67"/>
      <c r="BI31" s="87"/>
      <c r="BJ31" s="67"/>
      <c r="BK31" s="67" t="str">
        <f>INDEX(T,24+MONTH(R77),lang) &amp; " " &amp; DAY(R77) &amp; ", " &amp; YEAR(R77) &amp; "   " &amp; TEXT(TIME(HOUR(R77),MINUTE(R77),0),"hh:mm")</f>
        <v xml:space="preserve">Jul 11, 2018   14:00</v>
      </c>
      <c r="BL31" s="67"/>
      <c r="BM31" s="67"/>
      <c r="BN31" s="83"/>
      <c r="BO31" s="87"/>
      <c r="BP31" s="67"/>
      <c r="BQ31" s="92" t="str">
        <f>INDEX(T,7,lang)</f>
        <v xml:space="preserve">Tercer puesto</v>
      </c>
      <c r="BR31" s="92"/>
      <c r="BS31" s="92"/>
      <c r="BT31" s="92"/>
    </row>
    <row ht="15" customHeight="1" r="32">
      <c r="A32" s="56">
        <v>26</v>
      </c>
      <c r="B32" s="57" t="str">
        <f>INDEX(T,18+INT(MOD(R32-1,7)),lang)</f>
        <v>Fri</v>
      </c>
      <c r="C32" s="58" t="str">
        <f>INDEX(T,24+MONTH(R32),lang) &amp; " " &amp; DAY(R32) &amp; ", " &amp; YEAR(R32)</f>
        <v xml:space="preserve">Jun 22, 2018</v>
      </c>
      <c r="D32" s="59">
        <f>TIME(HOUR(R32),MINUTE(R32),0)</f>
        <v>0.58333333333333304</v>
      </c>
      <c r="E32" s="60" t="str">
        <f>AB35</f>
        <v>Serbia</v>
      </c>
      <c r="F32" s="61">
        <v>1</v>
      </c>
      <c r="G32" s="93">
        <v>2</v>
      </c>
      <c r="H32" s="63" t="str">
        <f>AB33</f>
        <v>Suiza</v>
      </c>
      <c r="J32" s="64" t="str">
        <f>INDEX(T,9,lang) &amp; " " &amp; "E"</f>
        <v xml:space="preserve">Grupo E</v>
      </c>
      <c r="K32" s="65" t="str">
        <f>INDEX(T,10,lang)</f>
        <v>J</v>
      </c>
      <c r="L32" s="65" t="str">
        <f>INDEX(T,11,lang)</f>
        <v>G</v>
      </c>
      <c r="M32" s="65" t="str">
        <f>INDEX(T,12,lang)</f>
        <v>DRAW</v>
      </c>
      <c r="N32" s="65" t="str">
        <f>INDEX(T,13,lang)</f>
        <v>P</v>
      </c>
      <c r="O32" s="65" t="str">
        <f>INDEX(T,14,lang)</f>
        <v xml:space="preserve">GF - GC</v>
      </c>
      <c r="P32" s="66" t="str">
        <f>INDEX(T,15,lang)</f>
        <v>PTS</v>
      </c>
      <c r="R32" s="39">
        <f>DATE(2018,6,22)+TIME(7,0,0)+gmt_delta</f>
        <v>43273.583333333299</v>
      </c>
      <c r="S32" s="40" t="str">
        <f>IF(OR(F32="",G32=""),"",IF(F32&gt;G32,E32&amp;"_win",IF(F32&lt;G32,E32&amp;"_lose",E32&amp;"_draw")))</f>
        <v>Serbia_lose</v>
      </c>
      <c r="T32" s="40" t="str">
        <f>IF(S32="","",IF(F32&lt;G32,H32&amp;"_win",IF(F32&gt;G32,H32&amp;"_lose",H32&amp;"_draw")))</f>
        <v>Suiza_win</v>
      </c>
      <c r="U32" s="41">
        <f>IF(S32="",0,IF(VLOOKUP(E32,$AB$8:$AK$53,7,0)=VLOOKUP(H32,$AB$8:$AK$53,7,0),1,0))</f>
        <v>0</v>
      </c>
      <c r="V32" s="39">
        <f>U32*F32</f>
        <v>0</v>
      </c>
      <c r="W32" s="39">
        <f>U32*G32</f>
        <v>0</v>
      </c>
      <c r="X32" s="39">
        <f>IF(OR(E32=my_team,H32=my_team),1,0)</f>
        <v>0</v>
      </c>
      <c r="Y32" s="39">
        <f>IF(OR(F32="",G32=""),"",IF(F32&gt;G32,1,IF(F32&lt;G32,-1,0)))</f>
        <v>-1</v>
      </c>
      <c r="AA32" s="39">
        <f>COUNTIF(AN32:AN35,CONCATENATE("&gt;=",AN32))</f>
        <v>1</v>
      </c>
      <c r="AB32" s="41" t="str">
        <f>VLOOKUP("Brazil",T,lang,0)</f>
        <v>Brasil</v>
      </c>
      <c r="AC32" s="39">
        <f>COUNTIF($S$7:$T$54,"=" &amp; AB32 &amp; "_win")</f>
        <v>2</v>
      </c>
      <c r="AD32" s="39">
        <f>COUNTIF($S$7:$T$54,"=" &amp; AB32 &amp; "_draw")</f>
        <v>1</v>
      </c>
      <c r="AE32" s="39">
        <f>COUNTIF($S$7:$T$54,"=" &amp; AB32 &amp; "_lose")</f>
        <v>0</v>
      </c>
      <c r="AF32" s="39">
        <f>SUMIF($E$7:$E$54,$AB32,$F$7:$F$54) + SUMIF($H$7:$H$54,$AB32,$G$7:$G$54)</f>
        <v>5</v>
      </c>
      <c r="AG32" s="39">
        <f>SUMIF($E$7:$E$54,$AB32,$G$7:$G$54) + SUMIF($H$7:$H$54,$AB32,$F$7:$F$54)</f>
        <v>1</v>
      </c>
      <c r="AH32" s="39">
        <f>(AF32-AG32)*100+AK32*10000+AF32</f>
        <v>70405</v>
      </c>
      <c r="AI32" s="39">
        <f>AF32-AG32</f>
        <v>4</v>
      </c>
      <c r="AJ32" s="39">
        <f>(AI32-AI37)/AI36</f>
        <v>0.875</v>
      </c>
      <c r="AK32" s="39">
        <f>AC32*3+AD32</f>
        <v>7</v>
      </c>
      <c r="AL32" s="39">
        <f>AP32/AP36*1000+AQ32/AQ36*100+AT32/AT36*10+AR32/AR36</f>
        <v>0</v>
      </c>
      <c r="AM32" s="39">
        <f>VLOOKUP(AB32,db_fifarank,2,0)/2000000</f>
        <v>0.00074149999999999997</v>
      </c>
      <c r="AN32" s="41">
        <f>1000*AK32/AK36+100*AJ32+10*AF32/AF36+1*AL32/AL36+AM32</f>
        <v>1097.5007415</v>
      </c>
      <c r="AO32" s="41" t="str">
        <f>IF(SUM(AC32:AE35)=12,J33,INDEX(T,78,lang))</f>
        <v>Brasil</v>
      </c>
      <c r="AP32" s="39">
        <f>SUMPRODUCT(($S$7:$S$54=AB32&amp;"_win")*($U$7:$U$54))+SUMPRODUCT(($T$7:$T$54=AB32&amp;"_win")*($U$7:$U$54))</f>
        <v>0</v>
      </c>
      <c r="AQ32" s="39">
        <f>SUMPRODUCT(($S$7:$S$54=AB32&amp;"_draw")*($U$7:$U$54))+SUMPRODUCT(($T$7:$T$54=AB32&amp;"_draw")*($U$7:$U$54))</f>
        <v>0</v>
      </c>
      <c r="AR32" s="39">
        <f>SUMPRODUCT(($E$7:$E$54=AB32)*($U$7:$U$54)*($F$7:$F$54))+SUMPRODUCT(($H$7:$H$54=AB32)*($U$7:$U$54)*($G$7:$G$54))</f>
        <v>0</v>
      </c>
      <c r="AS32" s="39">
        <f>SUMPRODUCT(($E$7:$E$54=AB32)*($U$7:$U$54)*($G$7:$G$54))+SUMPRODUCT(($H$7:$H$54=AB32)*($U$7:$U$54)*($F$7:$F$54))</f>
        <v>0</v>
      </c>
      <c r="AT32" s="39">
        <f>AR32-AS32</f>
        <v>0</v>
      </c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87"/>
      <c r="BJ32" s="67"/>
      <c r="BK32" s="75">
        <v>62</v>
      </c>
      <c r="BL32" s="76" t="str">
        <f>T71</f>
        <v>Croacia</v>
      </c>
      <c r="BM32" s="77">
        <v>2</v>
      </c>
      <c r="BN32" s="78"/>
      <c r="BO32" s="89"/>
      <c r="BP32" s="67"/>
      <c r="BQ32" s="92"/>
      <c r="BR32" s="92"/>
      <c r="BS32" s="92"/>
      <c r="BT32" s="92"/>
    </row>
    <row ht="15" customHeight="1" r="33">
      <c r="A33" s="56">
        <v>27</v>
      </c>
      <c r="B33" s="57" t="str">
        <f>INDEX(T,18+INT(MOD(R33-1,7)),lang)</f>
        <v>Sat</v>
      </c>
      <c r="C33" s="58" t="str">
        <f>INDEX(T,24+MONTH(R33),lang) &amp; " " &amp; DAY(R33) &amp; ", " &amp; YEAR(R33)</f>
        <v xml:space="preserve">Jun 23, 2018</v>
      </c>
      <c r="D33" s="59">
        <f>TIME(HOUR(R33),MINUTE(R33),0)</f>
        <v>0.58333333333333304</v>
      </c>
      <c r="E33" s="60" t="str">
        <f>AB38</f>
        <v>Alemania</v>
      </c>
      <c r="F33" s="61">
        <v>2</v>
      </c>
      <c r="G33" s="62">
        <v>1</v>
      </c>
      <c r="H33" s="63" t="str">
        <f>AB40</f>
        <v>Suecia</v>
      </c>
      <c r="J33" s="68" t="str">
        <f>VLOOKUP(1,AA32:AK35,2,0)</f>
        <v>Brasil</v>
      </c>
      <c r="K33" s="69">
        <f>L33+M33+N33</f>
        <v>3</v>
      </c>
      <c r="L33" s="69">
        <f>VLOOKUP(1,AA32:AK35,3,0)</f>
        <v>2</v>
      </c>
      <c r="M33" s="69">
        <f>VLOOKUP(1,AA32:AK35,4,0)</f>
        <v>1</v>
      </c>
      <c r="N33" s="69">
        <f>VLOOKUP(1,AA32:AK35,5,0)</f>
        <v>0</v>
      </c>
      <c r="O33" s="69" t="str">
        <f>VLOOKUP(1,AA32:AK35,6,0) &amp; " - " &amp; VLOOKUP(1,AA32:AK35,7,0)</f>
        <v xml:space="preserve">5 - 1</v>
      </c>
      <c r="P33" s="70">
        <f>L33*3+M33</f>
        <v>7</v>
      </c>
      <c r="R33" s="39">
        <f>DATE(2018,6,23)+TIME(7,0,0)+gmt_delta</f>
        <v>43274.583333333299</v>
      </c>
      <c r="S33" s="40" t="str">
        <f>IF(OR(F33="",G33=""),"",IF(F33&gt;G33,E33&amp;"_win",IF(F33&lt;G33,E33&amp;"_lose",E33&amp;"_draw")))</f>
        <v>Alemania_win</v>
      </c>
      <c r="T33" s="40" t="str">
        <f>IF(S33="","",IF(F33&lt;G33,H33&amp;"_win",IF(F33&gt;G33,H33&amp;"_lose",H33&amp;"_draw")))</f>
        <v>Suecia_lose</v>
      </c>
      <c r="U33" s="41">
        <f>IF(S33="",0,IF(VLOOKUP(E33,$AB$8:$AK$53,7,0)=VLOOKUP(H33,$AB$8:$AK$53,7,0),1,0))</f>
        <v>0</v>
      </c>
      <c r="V33" s="39">
        <f>U33*F33</f>
        <v>0</v>
      </c>
      <c r="W33" s="39">
        <f>U33*G33</f>
        <v>0</v>
      </c>
      <c r="X33" s="39">
        <f>IF(OR(E33=my_team,H33=my_team),1,0)</f>
        <v>1</v>
      </c>
      <c r="Y33" s="39">
        <f>IF(OR(F33="",G33=""),"",IF(F33&gt;G33,1,IF(F33&lt;G33,-1,0)))</f>
        <v>1</v>
      </c>
      <c r="AA33" s="39">
        <f>COUNTIF(AN32:AN35,CONCATENATE("&gt;=",AN33))</f>
        <v>2</v>
      </c>
      <c r="AB33" s="41" t="str">
        <f>VLOOKUP("Switzerland",T,lang,0)</f>
        <v>Suiza</v>
      </c>
      <c r="AC33" s="39">
        <f>COUNTIF($S$7:$T$54,"=" &amp; AB33 &amp; "_win")</f>
        <v>1</v>
      </c>
      <c r="AD33" s="39">
        <f>COUNTIF($S$7:$T$54,"=" &amp; AB33 &amp; "_draw")</f>
        <v>2</v>
      </c>
      <c r="AE33" s="39">
        <f>COUNTIF($S$7:$T$54,"=" &amp; AB33 &amp; "_lose")</f>
        <v>0</v>
      </c>
      <c r="AF33" s="39">
        <f>SUMIF($E$7:$E$54,$AB33,$F$7:$F$54) + SUMIF($H$7:$H$54,$AB33,$G$7:$G$54)</f>
        <v>4</v>
      </c>
      <c r="AG33" s="39">
        <f>SUMIF($E$7:$E$54,$AB33,$G$7:$G$54) + SUMIF($H$7:$H$54,$AB33,$F$7:$F$54)</f>
        <v>3</v>
      </c>
      <c r="AH33" s="39">
        <f>(AF33-AG33)*100+AK33*10000+AF33</f>
        <v>50104</v>
      </c>
      <c r="AI33" s="39">
        <f>AF33-AG33</f>
        <v>1</v>
      </c>
      <c r="AJ33" s="39">
        <f>(AI33-AI37)/AI36</f>
        <v>0.5</v>
      </c>
      <c r="AK33" s="39">
        <f>AC33*3+AD33</f>
        <v>5</v>
      </c>
      <c r="AL33" s="39">
        <f>AP33/AP36*1000+AQ33/AQ36*100+AT33/AT36*10+AR33/AR36</f>
        <v>0</v>
      </c>
      <c r="AM33" s="39">
        <f>VLOOKUP(AB33,db_fifarank,2,0)/2000000</f>
        <v>0.00059500000000000004</v>
      </c>
      <c r="AN33" s="41">
        <f>1000*AK33/AK36+100*AJ33+10*AF33/AF36+1*AL33/AL36+AM33</f>
        <v>772.28630928571397</v>
      </c>
      <c r="AO33" s="41" t="str">
        <f>IF(SUM(AC32:AE35)=12,J34,INDEX(T,79,lang))</f>
        <v>Suiza</v>
      </c>
      <c r="AP33" s="39">
        <f>SUMPRODUCT(($S$7:$S$54=AB33&amp;"_win")*($U$7:$U$54))+SUMPRODUCT(($T$7:$T$54=AB33&amp;"_win")*($U$7:$U$54))</f>
        <v>0</v>
      </c>
      <c r="AQ33" s="39">
        <f>SUMPRODUCT(($S$7:$S$54=AB33&amp;"_draw")*($U$7:$U$54))+SUMPRODUCT(($T$7:$T$54=AB33&amp;"_draw")*($U$7:$U$54))</f>
        <v>0</v>
      </c>
      <c r="AR33" s="39">
        <f>SUMPRODUCT(($E$7:$E$54=AB33)*($U$7:$U$54)*($F$7:$F$54))+SUMPRODUCT(($H$7:$H$54=AB33)*($U$7:$U$54)*($G$7:$G$54))</f>
        <v>0</v>
      </c>
      <c r="AS33" s="39">
        <f>SUMPRODUCT(($E$7:$E$54=AB33)*($U$7:$U$54)*($G$7:$G$54))+SUMPRODUCT(($H$7:$H$54=AB33)*($U$7:$U$54)*($F$7:$F$54))</f>
        <v>0</v>
      </c>
      <c r="AT33" s="39">
        <f>AR33-AS33</f>
        <v>0</v>
      </c>
      <c r="AY33" s="67" t="str">
        <f>INDEX(T,24+MONTH(R64),lang) &amp; " " &amp; DAY(R64) &amp; ", " &amp; YEAR(R64) &amp; "   " &amp; TEXT(TIME(HOUR(R64),MINUTE(R64),0),"hh:mm")</f>
        <v xml:space="preserve">Jul 3, 2018   10:00</v>
      </c>
      <c r="AZ33" s="67"/>
      <c r="BA33" s="67"/>
      <c r="BB33" s="83"/>
      <c r="BC33" s="67"/>
      <c r="BD33" s="67"/>
      <c r="BE33" s="67"/>
      <c r="BF33" s="67"/>
      <c r="BG33" s="67"/>
      <c r="BH33" s="67"/>
      <c r="BI33" s="87"/>
      <c r="BJ33" s="88"/>
      <c r="BK33" s="75"/>
      <c r="BL33" s="79" t="str">
        <f>T72</f>
        <v>Inglaterra</v>
      </c>
      <c r="BM33" s="80">
        <v>1</v>
      </c>
      <c r="BN33" s="81"/>
      <c r="BO33" s="67"/>
      <c r="BP33" s="67"/>
      <c r="BQ33" s="67"/>
      <c r="BR33" s="67"/>
      <c r="BS33" s="67"/>
      <c r="BT33" s="67"/>
    </row>
    <row ht="15" customHeight="1" r="34">
      <c r="A34" s="56">
        <v>28</v>
      </c>
      <c r="B34" s="57" t="str">
        <f>INDEX(T,18+INT(MOD(R34-1,7)),lang)</f>
        <v>Sat</v>
      </c>
      <c r="C34" s="58" t="str">
        <f>INDEX(T,24+MONTH(R34),lang) &amp; " " &amp; DAY(R34) &amp; ", " &amp; YEAR(R34)</f>
        <v xml:space="preserve">Jun 23, 2018</v>
      </c>
      <c r="D34" s="59">
        <f>TIME(HOUR(R34),MINUTE(R34),0)</f>
        <v>0.45833333333333298</v>
      </c>
      <c r="E34" s="60" t="str">
        <f>AB41</f>
        <v xml:space="preserve">República de Corea</v>
      </c>
      <c r="F34" s="61">
        <v>1</v>
      </c>
      <c r="G34" s="62">
        <v>2</v>
      </c>
      <c r="H34" s="63" t="str">
        <f>AB39</f>
        <v>México</v>
      </c>
      <c r="J34" s="72" t="str">
        <f>VLOOKUP(2,AA32:AK35,2,0)</f>
        <v>Suiza</v>
      </c>
      <c r="K34" s="73">
        <f>L34+M34+N34</f>
        <v>3</v>
      </c>
      <c r="L34" s="73">
        <f>VLOOKUP(2,AA32:AK35,3,0)</f>
        <v>1</v>
      </c>
      <c r="M34" s="73">
        <f>VLOOKUP(2,AA32:AK35,4,0)</f>
        <v>2</v>
      </c>
      <c r="N34" s="73">
        <f>VLOOKUP(2,AA32:AK35,5,0)</f>
        <v>0</v>
      </c>
      <c r="O34" s="73" t="str">
        <f>VLOOKUP(2,AA32:AK35,6,0) &amp; " - " &amp; VLOOKUP(2,AA32:AK35,7,0)</f>
        <v xml:space="preserve">4 - 3</v>
      </c>
      <c r="P34" s="74">
        <f>L34*3+M34</f>
        <v>5</v>
      </c>
      <c r="R34" s="39">
        <f>DATE(2018,6,23)+TIME(4,0,0)+gmt_delta</f>
        <v>43274.458333333299</v>
      </c>
      <c r="S34" s="40" t="str">
        <f>IF(OR(F34="",G34=""),"",IF(F34&gt;G34,E34&amp;"_win",IF(F34&lt;G34,E34&amp;"_lose",E34&amp;"_draw")))</f>
        <v xml:space="preserve">República de Corea_lose</v>
      </c>
      <c r="T34" s="40" t="str">
        <f>IF(S34="","",IF(F34&lt;G34,H34&amp;"_win",IF(F34&gt;G34,H34&amp;"_lose",H34&amp;"_draw")))</f>
        <v>México_win</v>
      </c>
      <c r="U34" s="41">
        <f>IF(S34="",0,IF(VLOOKUP(E34,$AB$8:$AK$53,7,0)=VLOOKUP(H34,$AB$8:$AK$53,7,0),1,0))</f>
        <v>0</v>
      </c>
      <c r="V34" s="39">
        <f>U34*F34</f>
        <v>0</v>
      </c>
      <c r="W34" s="39">
        <f>U34*G34</f>
        <v>0</v>
      </c>
      <c r="X34" s="39">
        <f>IF(OR(E34=my_team,H34=my_team),1,0)</f>
        <v>0</v>
      </c>
      <c r="Y34" s="39">
        <f>IF(OR(F34="",G34=""),"",IF(F34&gt;G34,1,IF(F34&lt;G34,-1,0)))</f>
        <v>-1</v>
      </c>
      <c r="AA34" s="39">
        <f>COUNTIF(AN32:AN35,CONCATENATE("&gt;=",AN34))</f>
        <v>4</v>
      </c>
      <c r="AB34" s="41" t="str">
        <f>VLOOKUP("Costa Rica",T,lang,0)</f>
        <v xml:space="preserve">Costa Rica</v>
      </c>
      <c r="AC34" s="39">
        <f>COUNTIF($S$7:$T$54,"=" &amp; AB34 &amp; "_win")</f>
        <v>0</v>
      </c>
      <c r="AD34" s="39">
        <f>COUNTIF($S$7:$T$54,"=" &amp; AB34 &amp; "_draw")</f>
        <v>1</v>
      </c>
      <c r="AE34" s="39">
        <f>COUNTIF($S$7:$T$54,"=" &amp; AB34 &amp; "_lose")</f>
        <v>2</v>
      </c>
      <c r="AF34" s="39">
        <f>SUMIF($E$7:$E$54,$AB34,$F$7:$F$54) + SUMIF($H$7:$H$54,$AB34,$G$7:$G$54)</f>
        <v>1</v>
      </c>
      <c r="AG34" s="39">
        <f>SUMIF($E$7:$E$54,$AB34,$G$7:$G$54) + SUMIF($H$7:$H$54,$AB34,$F$7:$F$54)</f>
        <v>4</v>
      </c>
      <c r="AH34" s="39">
        <f>(AF34-AG34)*100+AK34*10000+AF34</f>
        <v>9701</v>
      </c>
      <c r="AI34" s="39">
        <f>AF34-AG34</f>
        <v>-3</v>
      </c>
      <c r="AJ34" s="39">
        <f>(AI34-AI37)/AI36</f>
        <v>0</v>
      </c>
      <c r="AK34" s="39">
        <f>AC34*3+AD34</f>
        <v>1</v>
      </c>
      <c r="AL34" s="39">
        <f>AP34/AP36*1000+AQ34/AQ36*100+AT34/AT36*10+AR34/AR36</f>
        <v>0</v>
      </c>
      <c r="AM34" s="39">
        <f>VLOOKUP(AB34,db_fifarank,2,0)/2000000</f>
        <v>0.00042499999999999998</v>
      </c>
      <c r="AN34" s="41">
        <f>1000*AK34/AK36+100*AJ34+10*AF34/AF36+1*AL34/AL36+AM34</f>
        <v>144.85756785714301</v>
      </c>
      <c r="AP34" s="39">
        <f>SUMPRODUCT(($S$7:$S$54=AB34&amp;"_win")*($U$7:$U$54))+SUMPRODUCT(($T$7:$T$54=AB34&amp;"_win")*($U$7:$U$54))</f>
        <v>0</v>
      </c>
      <c r="AQ34" s="39">
        <f>SUMPRODUCT(($S$7:$S$54=AB34&amp;"_draw")*($U$7:$U$54))+SUMPRODUCT(($T$7:$T$54=AB34&amp;"_draw")*($U$7:$U$54))</f>
        <v>0</v>
      </c>
      <c r="AR34" s="39">
        <f>SUMPRODUCT(($E$7:$E$54=AB34)*($U$7:$U$54)*($F$7:$F$54))+SUMPRODUCT(($H$7:$H$54=AB34)*($U$7:$U$54)*($G$7:$G$54))</f>
        <v>0</v>
      </c>
      <c r="AS34" s="39">
        <f>SUMPRODUCT(($E$7:$E$54=AB34)*($U$7:$U$54)*($G$7:$G$54))+SUMPRODUCT(($H$7:$H$54=AB34)*($U$7:$U$54)*($F$7:$F$54))</f>
        <v>0</v>
      </c>
      <c r="AT34" s="39">
        <f>AR34-AS34</f>
        <v>0</v>
      </c>
      <c r="AY34" s="75">
        <v>55</v>
      </c>
      <c r="AZ34" s="76" t="str">
        <f>AO38</f>
        <v>Suecia</v>
      </c>
      <c r="BA34" s="77">
        <v>1</v>
      </c>
      <c r="BB34" s="78"/>
      <c r="BC34" s="67"/>
      <c r="BD34" s="67"/>
      <c r="BE34" s="67"/>
      <c r="BF34" s="67"/>
      <c r="BG34" s="67"/>
      <c r="BH34" s="67"/>
      <c r="BI34" s="87"/>
      <c r="BJ34" s="67"/>
      <c r="BK34" s="67"/>
      <c r="BL34" s="67"/>
      <c r="BM34" s="67"/>
      <c r="BN34" s="67"/>
      <c r="BO34" s="67"/>
      <c r="BP34" s="67"/>
      <c r="BQ34" s="67" t="str">
        <f>INDEX(T,24+MONTH(R81),lang) &amp; " " &amp; DAY(R81) &amp; ", " &amp; YEAR(R81) &amp; "   " &amp; TEXT(TIME(HOUR(R81),MINUTE(R81),0),"hh:mm")</f>
        <v xml:space="preserve">Jul 14, 2018   10:00</v>
      </c>
      <c r="BR34" s="67"/>
      <c r="BS34" s="67"/>
      <c r="BT34" s="83"/>
    </row>
    <row ht="15" customHeight="1" r="35">
      <c r="A35" s="56">
        <v>29</v>
      </c>
      <c r="B35" s="57" t="str">
        <f>INDEX(T,18+INT(MOD(R35-1,7)),lang)</f>
        <v>Sat</v>
      </c>
      <c r="C35" s="58" t="str">
        <f>INDEX(T,24+MONTH(R35),lang) &amp; " " &amp; DAY(R35) &amp; ", " &amp; YEAR(R35)</f>
        <v xml:space="preserve">Jun 23, 2018</v>
      </c>
      <c r="D35" s="59">
        <f>TIME(HOUR(R35),MINUTE(R35),0)</f>
        <v>0.33333333333333298</v>
      </c>
      <c r="E35" s="60" t="str">
        <f>AB44</f>
        <v>Bélgica</v>
      </c>
      <c r="F35" s="61">
        <v>5</v>
      </c>
      <c r="G35" s="62">
        <v>2</v>
      </c>
      <c r="H35" s="63" t="str">
        <f>AB46</f>
        <v>Túnez</v>
      </c>
      <c r="J35" s="72" t="str">
        <f>VLOOKUP(3,AA32:AK35,2,0)</f>
        <v>Serbia</v>
      </c>
      <c r="K35" s="73">
        <f>L35+M35+N35</f>
        <v>3</v>
      </c>
      <c r="L35" s="73">
        <f>VLOOKUP(3,AA32:AK35,3,0)</f>
        <v>1</v>
      </c>
      <c r="M35" s="73">
        <f>VLOOKUP(3,AA32:AK35,4,0)</f>
        <v>0</v>
      </c>
      <c r="N35" s="73">
        <f>VLOOKUP(3,AA32:AK35,5,0)</f>
        <v>2</v>
      </c>
      <c r="O35" s="73" t="str">
        <f>VLOOKUP(3,AA32:AK35,6,0) &amp; " - " &amp; VLOOKUP(3,AA32:AK35,7,0)</f>
        <v xml:space="preserve">2 - 4</v>
      </c>
      <c r="P35" s="74">
        <f>L35*3+M35</f>
        <v>3</v>
      </c>
      <c r="R35" s="39">
        <f>DATE(2018,6,23)+TIME(1,0,0)+gmt_delta</f>
        <v>43274.333333333299</v>
      </c>
      <c r="S35" s="40" t="str">
        <f>IF(OR(F35="",G35=""),"",IF(F35&gt;G35,E35&amp;"_win",IF(F35&lt;G35,E35&amp;"_lose",E35&amp;"_draw")))</f>
        <v>Bélgica_win</v>
      </c>
      <c r="T35" s="40" t="str">
        <f>IF(S35="","",IF(F35&lt;G35,H35&amp;"_win",IF(F35&gt;G35,H35&amp;"_lose",H35&amp;"_draw")))</f>
        <v>Túnez_lose</v>
      </c>
      <c r="U35" s="41">
        <f>IF(S35="",0,IF(VLOOKUP(E35,$AB$8:$AK$53,7,0)=VLOOKUP(H35,$AB$8:$AK$53,7,0),1,0))</f>
        <v>0</v>
      </c>
      <c r="V35" s="39">
        <f>U35*F35</f>
        <v>0</v>
      </c>
      <c r="W35" s="39">
        <f>U35*G35</f>
        <v>0</v>
      </c>
      <c r="X35" s="39">
        <f>IF(OR(E35=my_team,H35=my_team),1,0)</f>
        <v>0</v>
      </c>
      <c r="Y35" s="39">
        <f>IF(OR(F35="",G35=""),"",IF(F35&gt;G35,1,IF(F35&lt;G35,-1,0)))</f>
        <v>1</v>
      </c>
      <c r="AA35" s="39">
        <f>COUNTIF(AN32:AN35,CONCATENATE("&gt;=",AN35))</f>
        <v>3</v>
      </c>
      <c r="AB35" s="41" t="str">
        <f>VLOOKUP("Serbia",T,lang,0)</f>
        <v>Serbia</v>
      </c>
      <c r="AC35" s="39">
        <f>COUNTIF($S$7:$T$54,"=" &amp; AB35 &amp; "_win")</f>
        <v>1</v>
      </c>
      <c r="AD35" s="39">
        <f>COUNTIF($S$7:$T$54,"=" &amp; AB35 &amp; "_draw")</f>
        <v>0</v>
      </c>
      <c r="AE35" s="39">
        <f>COUNTIF($S$7:$T$54,"=" &amp; AB35 &amp; "_lose")</f>
        <v>2</v>
      </c>
      <c r="AF35" s="39">
        <f>SUMIF($E$7:$E$54,$AB35,$F$7:$F$54) + SUMIF($H$7:$H$54,$AB35,$G$7:$G$54)</f>
        <v>2</v>
      </c>
      <c r="AG35" s="39">
        <f>SUMIF($E$7:$E$54,$AB35,$G$7:$G$54) + SUMIF($H$7:$H$54,$AB35,$F$7:$F$54)</f>
        <v>4</v>
      </c>
      <c r="AH35" s="39">
        <f>(AF35-AG35)*100+AK35*10000+AF35</f>
        <v>29802</v>
      </c>
      <c r="AI35" s="39">
        <f>AF35-AG35</f>
        <v>-2</v>
      </c>
      <c r="AJ35" s="39">
        <f>(AI35-AI37)/AI36</f>
        <v>0.125</v>
      </c>
      <c r="AK35" s="39">
        <f>AC35*3+AD35</f>
        <v>3</v>
      </c>
      <c r="AL35" s="39">
        <f>AP35/AP36*1000+AQ35/AQ36*100+AT35/AT36*10+AR35/AR36</f>
        <v>0</v>
      </c>
      <c r="AM35" s="39">
        <f>VLOOKUP(AB35,db_fifarank,2,0)/2000000</f>
        <v>0.00037800000000000003</v>
      </c>
      <c r="AN35" s="41">
        <f>1000*AK35/AK36+100*AJ35+10*AF35/AF36+1*AL35/AL36+AM35</f>
        <v>445.07180657142902</v>
      </c>
      <c r="AP35" s="39">
        <f>SUMPRODUCT(($S$7:$S$54=AB35&amp;"_win")*($U$7:$U$54))+SUMPRODUCT(($T$7:$T$54=AB35&amp;"_win")*($U$7:$U$54))</f>
        <v>0</v>
      </c>
      <c r="AQ35" s="39">
        <f>SUMPRODUCT(($S$7:$S$54=AB35&amp;"_draw")*($U$7:$U$54))+SUMPRODUCT(($T$7:$T$54=AB35&amp;"_draw")*($U$7:$U$54))</f>
        <v>0</v>
      </c>
      <c r="AR35" s="39">
        <f>SUMPRODUCT(($E$7:$E$54=AB35)*($U$7:$U$54)*($F$7:$F$54))+SUMPRODUCT(($H$7:$H$54=AB35)*($U$7:$U$54)*($G$7:$G$54))</f>
        <v>0</v>
      </c>
      <c r="AS35" s="39">
        <f>SUMPRODUCT(($E$7:$E$54=AB35)*($U$7:$U$54)*($G$7:$G$54))+SUMPRODUCT(($H$7:$H$54=AB35)*($U$7:$U$54)*($F$7:$F$54))</f>
        <v>0</v>
      </c>
      <c r="AT35" s="39">
        <f>AR35-AS35</f>
        <v>0</v>
      </c>
      <c r="AY35" s="75"/>
      <c r="AZ35" s="79" t="str">
        <f>AO33</f>
        <v>Suiza</v>
      </c>
      <c r="BA35" s="80">
        <v>0</v>
      </c>
      <c r="BB35" s="81"/>
      <c r="BC35" s="82"/>
      <c r="BD35" s="67"/>
      <c r="BE35" s="67" t="str">
        <f>INDEX(T,24+MONTH(R72),lang) &amp; " " &amp; DAY(R72) &amp; ", " &amp; YEAR(R72) &amp; "   " &amp; TEXT(TIME(HOUR(R72),MINUTE(R72),0),"hh:mm")</f>
        <v xml:space="preserve">Jul 7, 2018   14:00</v>
      </c>
      <c r="BF35" s="67"/>
      <c r="BG35" s="67"/>
      <c r="BH35" s="83"/>
      <c r="BI35" s="87"/>
      <c r="BJ35" s="67"/>
      <c r="BK35" s="67"/>
      <c r="BL35" s="67"/>
      <c r="BM35" s="67"/>
      <c r="BN35" s="67"/>
      <c r="BO35" s="67"/>
      <c r="BP35" s="67"/>
      <c r="BQ35" s="75">
        <v>63</v>
      </c>
      <c r="BR35" s="76" t="str">
        <f>Z76</f>
        <v>Bélgica</v>
      </c>
      <c r="BS35" s="77">
        <v>2</v>
      </c>
      <c r="BT35" s="78"/>
    </row>
    <row ht="15" customHeight="1" r="36">
      <c r="A36" s="56">
        <v>30</v>
      </c>
      <c r="B36" s="57" t="str">
        <f>INDEX(T,18+INT(MOD(R36-1,7)),lang)</f>
        <v>Sun</v>
      </c>
      <c r="C36" s="58" t="str">
        <f>INDEX(T,24+MONTH(R36),lang) &amp; " " &amp; DAY(R36) &amp; ", " &amp; YEAR(R36)</f>
        <v xml:space="preserve">Jun 24, 2018</v>
      </c>
      <c r="D36" s="59">
        <f>TIME(HOUR(R36),MINUTE(R36),0)</f>
        <v>0.33333333333333298</v>
      </c>
      <c r="E36" s="60" t="str">
        <f>AB47</f>
        <v>Inglaterra</v>
      </c>
      <c r="F36" s="61">
        <v>6</v>
      </c>
      <c r="G36" s="62">
        <v>1</v>
      </c>
      <c r="H36" s="63" t="str">
        <f>AB45</f>
        <v>Panamá</v>
      </c>
      <c r="J36" s="84" t="str">
        <f>VLOOKUP(4,AA32:AK35,2,0)</f>
        <v xml:space="preserve">Costa Rica</v>
      </c>
      <c r="K36" s="85">
        <f>L36+M36+N36</f>
        <v>3</v>
      </c>
      <c r="L36" s="85">
        <f>VLOOKUP(4,AA32:AK35,3,0)</f>
        <v>0</v>
      </c>
      <c r="M36" s="85">
        <f>VLOOKUP(4,AA32:AK35,4,0)</f>
        <v>1</v>
      </c>
      <c r="N36" s="85">
        <f>VLOOKUP(4,AA32:AK35,5,0)</f>
        <v>2</v>
      </c>
      <c r="O36" s="85" t="str">
        <f>VLOOKUP(4,AA32:AK35,6,0) &amp; " - " &amp; VLOOKUP(4,AA32:AK35,7,0)</f>
        <v xml:space="preserve">1 - 4</v>
      </c>
      <c r="P36" s="86">
        <f>L36*3+M36</f>
        <v>1</v>
      </c>
      <c r="R36" s="39">
        <f>DATE(2018,6,24)+TIME(1,0,0)+gmt_delta</f>
        <v>43275.333333333299</v>
      </c>
      <c r="S36" s="40" t="str">
        <f>IF(OR(F36="",G36=""),"",IF(F36&gt;G36,E36&amp;"_win",IF(F36&lt;G36,E36&amp;"_lose",E36&amp;"_draw")))</f>
        <v>Inglaterra_win</v>
      </c>
      <c r="T36" s="40" t="str">
        <f>IF(S36="","",IF(F36&lt;G36,H36&amp;"_win",IF(F36&gt;G36,H36&amp;"_lose",H36&amp;"_draw")))</f>
        <v>Panamá_lose</v>
      </c>
      <c r="U36" s="41">
        <f>IF(S36="",0,IF(VLOOKUP(E36,$AB$8:$AK$53,7,0)=VLOOKUP(H36,$AB$8:$AK$53,7,0),1,0))</f>
        <v>0</v>
      </c>
      <c r="V36" s="39">
        <f>U36*F36</f>
        <v>0</v>
      </c>
      <c r="W36" s="39">
        <f>U36*G36</f>
        <v>0</v>
      </c>
      <c r="X36" s="39">
        <f>IF(OR(E36=my_team,H36=my_team),1,0)</f>
        <v>0</v>
      </c>
      <c r="Y36" s="39">
        <f>IF(OR(F36="",G36=""),"",IF(F36&gt;G36,1,IF(F36&lt;G36,-1,0)))</f>
        <v>1</v>
      </c>
      <c r="AC36" s="39">
        <f>MAX(AC32:AC35)-MIN(AC32:AC35)+1</f>
        <v>3</v>
      </c>
      <c r="AD36" s="39">
        <f>MAX(AD32:AD35)-MIN(AD32:AD35)+1</f>
        <v>3</v>
      </c>
      <c r="AE36" s="39">
        <f>MAX(AE32:AE35)-MIN(AE32:AE35)+1</f>
        <v>3</v>
      </c>
      <c r="AF36" s="39">
        <f>MAX(AF32:AF35)-MIN(AF32:AF35)+1</f>
        <v>5</v>
      </c>
      <c r="AG36" s="39">
        <f>MAX(AG32:AG35)-MIN(AG32:AG35)+1</f>
        <v>4</v>
      </c>
      <c r="AH36" s="39">
        <f>MAX(AH32:AH35)-AH37+1</f>
        <v>60705</v>
      </c>
      <c r="AI36" s="39">
        <f>MAX(AI32:AI35)-AI37+1</f>
        <v>8</v>
      </c>
      <c r="AK36" s="39">
        <f>MAX(AK32:AK35)-MIN(AK32:AK35)+1</f>
        <v>7</v>
      </c>
      <c r="AL36" s="39">
        <f>MAX(AL32:AL35)-MIN(AL32:AL35)+1</f>
        <v>1</v>
      </c>
      <c r="AP36" s="39">
        <f>MAX(AP32:AP35)-MIN(AP32:AP35)+1</f>
        <v>1</v>
      </c>
      <c r="AQ36" s="39">
        <f>MAX(AQ32:AQ35)-MIN(AQ32:AQ35)+1</f>
        <v>1</v>
      </c>
      <c r="AR36" s="39">
        <f>MAX(AR32:AR35)-MIN(AR32:AR35)+1</f>
        <v>1</v>
      </c>
      <c r="AS36" s="39">
        <f>MAX(AS32:AS35)-MIN(AS32:AS35)+1</f>
        <v>1</v>
      </c>
      <c r="AT36" s="39">
        <f>MAX(AT32:AT35)-MIN(AT32:AT35)+1</f>
        <v>1</v>
      </c>
      <c r="AY36" s="67"/>
      <c r="AZ36" s="67"/>
      <c r="BA36" s="67"/>
      <c r="BB36" s="67"/>
      <c r="BC36" s="87"/>
      <c r="BD36" s="67"/>
      <c r="BE36" s="75">
        <v>60</v>
      </c>
      <c r="BF36" s="76" t="str">
        <f>T64</f>
        <v>Suecia</v>
      </c>
      <c r="BG36" s="77">
        <v>0</v>
      </c>
      <c r="BH36" s="78"/>
      <c r="BI36" s="89"/>
      <c r="BJ36" s="67"/>
      <c r="BK36" s="67"/>
      <c r="BL36" s="67"/>
      <c r="BM36" s="67"/>
      <c r="BN36" s="67"/>
      <c r="BO36" s="67"/>
      <c r="BP36" s="67"/>
      <c r="BQ36" s="75"/>
      <c r="BR36" s="79" t="str">
        <f>Z77</f>
        <v>Inglaterra</v>
      </c>
      <c r="BS36" s="80">
        <v>0</v>
      </c>
      <c r="BT36" s="81"/>
    </row>
    <row ht="15" customHeight="1" r="37">
      <c r="A37" s="56">
        <v>31</v>
      </c>
      <c r="B37" s="57" t="str">
        <f>INDEX(T,18+INT(MOD(R37-1,7)),lang)</f>
        <v>Sun</v>
      </c>
      <c r="C37" s="58" t="str">
        <f>INDEX(T,24+MONTH(R37),lang) &amp; " " &amp; DAY(R37) &amp; ", " &amp; YEAR(R37)</f>
        <v xml:space="preserve">Jun 24, 2018</v>
      </c>
      <c r="D37" s="59">
        <f>TIME(HOUR(R37),MINUTE(R37),0)</f>
        <v>0.58333333333333304</v>
      </c>
      <c r="E37" s="60" t="str">
        <f>AB50</f>
        <v>Polonia</v>
      </c>
      <c r="F37" s="61">
        <v>0</v>
      </c>
      <c r="G37" s="62">
        <v>3</v>
      </c>
      <c r="H37" s="63" t="str">
        <f>AB52</f>
        <v>Colombia</v>
      </c>
      <c r="R37" s="39">
        <f>DATE(2018,6,24)+TIME(7,0,0)+gmt_delta</f>
        <v>43275.583333333299</v>
      </c>
      <c r="S37" s="40" t="str">
        <f>IF(OR(F37="",G37=""),"",IF(F37&gt;G37,E37&amp;"_win",IF(F37&lt;G37,E37&amp;"_lose",E37&amp;"_draw")))</f>
        <v>Polonia_lose</v>
      </c>
      <c r="T37" s="40" t="str">
        <f>IF(S37="","",IF(F37&lt;G37,H37&amp;"_win",IF(F37&gt;G37,H37&amp;"_lose",H37&amp;"_draw")))</f>
        <v>Colombia_win</v>
      </c>
      <c r="U37" s="41">
        <f>IF(S37="",0,IF(VLOOKUP(E37,$AB$8:$AK$53,7,0)=VLOOKUP(H37,$AB$8:$AK$53,7,0),1,0))</f>
        <v>0</v>
      </c>
      <c r="V37" s="39">
        <f>U37*F37</f>
        <v>0</v>
      </c>
      <c r="W37" s="39">
        <f>U37*G37</f>
        <v>0</v>
      </c>
      <c r="X37" s="39">
        <f>IF(OR(E37=my_team,H37=my_team),1,0)</f>
        <v>0</v>
      </c>
      <c r="Y37" s="39">
        <f>IF(OR(F37="",G37=""),"",IF(F37&gt;G37,1,IF(F37&lt;G37,-1,0)))</f>
        <v>-1</v>
      </c>
      <c r="AH37" s="39">
        <f>MIN(AH32:AH35)</f>
        <v>9701</v>
      </c>
      <c r="AI37" s="39">
        <f>MIN(AI32:AI35)</f>
        <v>-3</v>
      </c>
      <c r="AY37" s="67" t="str">
        <f>INDEX(T,24+MONTH(R65),lang) &amp; " " &amp; DAY(R65) &amp; ", " &amp; YEAR(R65) &amp; "   " &amp; TEXT(TIME(HOUR(R65),MINUTE(R65),0),"hh:mm")</f>
        <v xml:space="preserve">Jul 3, 2018   14:00</v>
      </c>
      <c r="AZ37" s="67"/>
      <c r="BA37" s="67"/>
      <c r="BB37" s="83"/>
      <c r="BC37" s="87"/>
      <c r="BD37" s="88"/>
      <c r="BE37" s="75"/>
      <c r="BF37" s="79" t="str">
        <f>T65</f>
        <v>Inglaterra</v>
      </c>
      <c r="BG37" s="80">
        <v>2</v>
      </c>
      <c r="BH37" s="81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</row>
    <row ht="15" customHeight="1" r="38">
      <c r="A38" s="56">
        <v>32</v>
      </c>
      <c r="B38" s="57" t="str">
        <f>INDEX(T,18+INT(MOD(R38-1,7)),lang)</f>
        <v>Sun</v>
      </c>
      <c r="C38" s="58" t="str">
        <f>INDEX(T,24+MONTH(R38),lang) &amp; " " &amp; DAY(R38) &amp; ", " &amp; YEAR(R38)</f>
        <v xml:space="preserve">Jun 24, 2018</v>
      </c>
      <c r="D38" s="59">
        <f>TIME(HOUR(R38),MINUTE(R38),0)</f>
        <v>0.45833333333333298</v>
      </c>
      <c r="E38" s="60" t="str">
        <f>AB53</f>
        <v>Japón</v>
      </c>
      <c r="F38" s="61">
        <v>2</v>
      </c>
      <c r="G38" s="62">
        <v>2</v>
      </c>
      <c r="H38" s="63" t="str">
        <f>AB51</f>
        <v>Senegal</v>
      </c>
      <c r="J38" s="64" t="str">
        <f>INDEX(T,9,lang) &amp; " " &amp; "F"</f>
        <v xml:space="preserve">Grupo F</v>
      </c>
      <c r="K38" s="65" t="str">
        <f>INDEX(T,10,lang)</f>
        <v>J</v>
      </c>
      <c r="L38" s="65" t="str">
        <f>INDEX(T,11,lang)</f>
        <v>G</v>
      </c>
      <c r="M38" s="65" t="str">
        <f>INDEX(T,12,lang)</f>
        <v>DRAW</v>
      </c>
      <c r="N38" s="65" t="str">
        <f>INDEX(T,13,lang)</f>
        <v>P</v>
      </c>
      <c r="O38" s="65" t="str">
        <f>INDEX(T,14,lang)</f>
        <v xml:space="preserve">GF - GC</v>
      </c>
      <c r="P38" s="66" t="str">
        <f>INDEX(T,15,lang)</f>
        <v>PTS</v>
      </c>
      <c r="R38" s="39">
        <f>DATE(2018,6,24)+TIME(4,0,0)+gmt_delta</f>
        <v>43275.458333333299</v>
      </c>
      <c r="S38" s="40" t="str">
        <f>IF(OR(F38="",G38=""),"",IF(F38&gt;G38,E38&amp;"_win",IF(F38&lt;G38,E38&amp;"_lose",E38&amp;"_draw")))</f>
        <v>Japón_draw</v>
      </c>
      <c r="T38" s="40" t="str">
        <f>IF(S38="","",IF(F38&lt;G38,H38&amp;"_win",IF(F38&gt;G38,H38&amp;"_lose",H38&amp;"_draw")))</f>
        <v>Senegal_draw</v>
      </c>
      <c r="U38" s="41">
        <f>IF(S38="",0,IF(VLOOKUP(E38,$AB$8:$AK$53,7,0)=VLOOKUP(H38,$AB$8:$AK$53,7,0),1,0))</f>
        <v>0</v>
      </c>
      <c r="V38" s="39">
        <f>U38*F38</f>
        <v>0</v>
      </c>
      <c r="W38" s="39">
        <f>U38*G38</f>
        <v>0</v>
      </c>
      <c r="X38" s="39">
        <f>IF(OR(E38=my_team,H38=my_team),1,0)</f>
        <v>0</v>
      </c>
      <c r="Y38" s="39">
        <f>IF(OR(F38="",G38=""),"",IF(F38&gt;G38,1,IF(F38&lt;G38,-1,0)))</f>
        <v>0</v>
      </c>
      <c r="AA38" s="39">
        <f>COUNTIF(AN38:AN41,CONCATENATE("&gt;=",AN38))</f>
        <v>4</v>
      </c>
      <c r="AB38" s="41" t="str">
        <f>VLOOKUP("Germany",T,lang,0)</f>
        <v>Alemania</v>
      </c>
      <c r="AC38" s="39">
        <f>COUNTIF($S$7:$T$54,"=" &amp; AB38 &amp; "_win")</f>
        <v>1</v>
      </c>
      <c r="AD38" s="39">
        <f>COUNTIF($S$7:$T$54,"=" &amp; AB38 &amp; "_draw")</f>
        <v>0</v>
      </c>
      <c r="AE38" s="39">
        <f>COUNTIF($S$7:$T$54,"=" &amp; AB38 &amp; "_lose")</f>
        <v>2</v>
      </c>
      <c r="AF38" s="39">
        <f>SUMIF($E$7:$E$54,$AB38,$F$7:$F$54) + SUMIF($H$7:$H$54,$AB38,$G$7:$G$54)</f>
        <v>2</v>
      </c>
      <c r="AG38" s="39">
        <f>SUMIF($E$7:$E$54,$AB38,$G$7:$G$54) + SUMIF($H$7:$H$54,$AB38,$F$7:$F$54)</f>
        <v>4</v>
      </c>
      <c r="AH38" s="39">
        <f>(AF38-AG38)*100+AK38*10000+AF38</f>
        <v>29802</v>
      </c>
      <c r="AI38" s="39">
        <f>AF38-AG38</f>
        <v>-2</v>
      </c>
      <c r="AJ38" s="39">
        <f>(AI38-AI43)/AI42</f>
        <v>0</v>
      </c>
      <c r="AK38" s="39">
        <f>AC38*3+AD38</f>
        <v>3</v>
      </c>
      <c r="AL38" s="39">
        <f>AP38/AP42*1000+AQ38/AQ42*100+AT38/AT42*10+AR38/AR42</f>
        <v>0</v>
      </c>
      <c r="AM38" s="39">
        <f>VLOOKUP(AB38,db_fifarank,2,0)/2000000</f>
        <v>0.00080099999999999995</v>
      </c>
      <c r="AN38" s="41">
        <f>1000*AK38/AK42+100*AJ38+10*AF38/AF42+1*AL38/AL42+AM38</f>
        <v>755.00080100000002</v>
      </c>
      <c r="AO38" s="41" t="str">
        <f>IF(SUM(AC38:AE41)=12,J39,INDEX(T,80,lang))</f>
        <v>Suecia</v>
      </c>
      <c r="AP38" s="39">
        <f>SUMPRODUCT(($S$7:$S$54=AB38&amp;"_win")*($U$7:$U$54))+SUMPRODUCT(($T$7:$T$54=AB38&amp;"_win")*($U$7:$U$54))</f>
        <v>0</v>
      </c>
      <c r="AQ38" s="39">
        <f>SUMPRODUCT(($S$7:$S$54=AB38&amp;"_draw")*($U$7:$U$54))+SUMPRODUCT(($T$7:$T$54=AB38&amp;"_draw")*($U$7:$U$54))</f>
        <v>0</v>
      </c>
      <c r="AR38" s="39">
        <f>SUMPRODUCT(($E$7:$E$54=AB38)*($U$7:$U$54)*($F$7:$F$54))+SUMPRODUCT(($H$7:$H$54=AB38)*($U$7:$U$54)*($G$7:$G$54))</f>
        <v>0</v>
      </c>
      <c r="AS38" s="39">
        <f>SUMPRODUCT(($E$7:$E$54=AB38)*($U$7:$U$54)*($G$7:$G$54))+SUMPRODUCT(($H$7:$H$54=AB38)*($U$7:$U$54)*($F$7:$F$54))</f>
        <v>0</v>
      </c>
      <c r="AT38" s="39">
        <f>AR38-AS38</f>
        <v>0</v>
      </c>
      <c r="AY38" s="75">
        <v>56</v>
      </c>
      <c r="AZ38" s="76" t="str">
        <f>AO50</f>
        <v>Colombia</v>
      </c>
      <c r="BA38" s="77">
        <v>1</v>
      </c>
      <c r="BB38" s="78">
        <v>3</v>
      </c>
      <c r="BC38" s="89"/>
      <c r="BD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</row>
    <row ht="15" customHeight="1" r="39">
      <c r="A39" s="56">
        <v>33</v>
      </c>
      <c r="B39" s="57" t="str">
        <f>INDEX(T,18+INT(MOD(R39-1,7)),lang)</f>
        <v>Mon</v>
      </c>
      <c r="C39" s="58" t="str">
        <f>INDEX(T,24+MONTH(R39),lang) &amp; " " &amp; DAY(R39) &amp; ", " &amp; YEAR(R39)</f>
        <v xml:space="preserve">Jun 25, 2018</v>
      </c>
      <c r="D39" s="59">
        <f>TIME(HOUR(R39),MINUTE(R39),0)</f>
        <v>0.41666666666666702</v>
      </c>
      <c r="E39" s="60" t="str">
        <f>AB11</f>
        <v>Uruguay</v>
      </c>
      <c r="F39" s="61">
        <v>3</v>
      </c>
      <c r="G39" s="62">
        <v>0</v>
      </c>
      <c r="H39" s="63" t="str">
        <f>AB8</f>
        <v>Rusia</v>
      </c>
      <c r="J39" s="68" t="str">
        <f>VLOOKUP(1,AA38:AK41,2,0)</f>
        <v>Suecia</v>
      </c>
      <c r="K39" s="69">
        <f>L39+M39+N39</f>
        <v>3</v>
      </c>
      <c r="L39" s="69">
        <f>VLOOKUP(1,AA38:AK41,3,0)</f>
        <v>2</v>
      </c>
      <c r="M39" s="69">
        <f>VLOOKUP(1,AA38:AK41,4,0)</f>
        <v>0</v>
      </c>
      <c r="N39" s="69">
        <f>VLOOKUP(1,AA38:AK41,5,0)</f>
        <v>1</v>
      </c>
      <c r="O39" s="69" t="str">
        <f>VLOOKUP(1,AA38:AK41,6,0) &amp; " - " &amp; VLOOKUP(1,AA38:AK41,7,0)</f>
        <v xml:space="preserve">5 - 2</v>
      </c>
      <c r="P39" s="70">
        <f>L39*3+M39</f>
        <v>6</v>
      </c>
      <c r="R39" s="39">
        <f>DATE(2018,6,25)+TIME(3,0,0)+gmt_delta</f>
        <v>43276.416666666701</v>
      </c>
      <c r="S39" s="40" t="str">
        <f>IF(OR(F39="",G39=""),"",IF(F39&gt;G39,E39&amp;"_win",IF(F39&lt;G39,E39&amp;"_lose",E39&amp;"_draw")))</f>
        <v>Uruguay_win</v>
      </c>
      <c r="T39" s="40" t="str">
        <f>IF(S39="","",IF(F39&lt;G39,H39&amp;"_win",IF(F39&gt;G39,H39&amp;"_lose",H39&amp;"_draw")))</f>
        <v>Rusia_lose</v>
      </c>
      <c r="U39" s="41">
        <f>IF(S39="",0,IF(VLOOKUP(E39,$AB$8:$AK$53,7,0)=VLOOKUP(H39,$AB$8:$AK$53,7,0),1,0))</f>
        <v>0</v>
      </c>
      <c r="V39" s="39">
        <f>U39*F39</f>
        <v>0</v>
      </c>
      <c r="W39" s="39">
        <f>U39*G39</f>
        <v>0</v>
      </c>
      <c r="X39" s="39">
        <f>IF(OR(E39=my_team,H39=my_team),1,0)</f>
        <v>0</v>
      </c>
      <c r="Y39" s="39">
        <f>IF(OR(F39="",G39=""),"",IF(F39&gt;G39,1,IF(F39&lt;G39,-1,0)))</f>
        <v>1</v>
      </c>
      <c r="AA39" s="39">
        <f>COUNTIF(AN38:AN41,CONCATENATE("&gt;=",AN39))</f>
        <v>2</v>
      </c>
      <c r="AB39" s="41" t="str">
        <f>VLOOKUP("Mexico",T,lang,0)</f>
        <v>México</v>
      </c>
      <c r="AC39" s="39">
        <f>COUNTIF($S$7:$T$54,"=" &amp; AB39 &amp; "_win")</f>
        <v>2</v>
      </c>
      <c r="AD39" s="39">
        <f>COUNTIF($S$7:$T$54,"=" &amp; AB39 &amp; "_draw")</f>
        <v>0</v>
      </c>
      <c r="AE39" s="39">
        <f>COUNTIF($S$7:$T$54,"=" &amp; AB39 &amp; "_lose")</f>
        <v>1</v>
      </c>
      <c r="AF39" s="39">
        <f>SUMIF($E$7:$E$54,$AB39,$F$7:$F$54) + SUMIF($H$7:$H$54,$AB39,$G$7:$G$54)</f>
        <v>3</v>
      </c>
      <c r="AG39" s="39">
        <f>SUMIF($E$7:$E$54,$AB39,$G$7:$G$54) + SUMIF($H$7:$H$54,$AB39,$F$7:$F$54)</f>
        <v>4</v>
      </c>
      <c r="AH39" s="39">
        <f>(AF39-AG39)*100+AK39*10000+AF39</f>
        <v>59903</v>
      </c>
      <c r="AI39" s="39">
        <f>AF39-AG39</f>
        <v>-1</v>
      </c>
      <c r="AJ39" s="39">
        <f>(AI39-AI43)/AI42</f>
        <v>0.16666666666666699</v>
      </c>
      <c r="AK39" s="39">
        <f>AC39*3+AD39</f>
        <v>6</v>
      </c>
      <c r="AL39" s="39">
        <f>AP39/AP42*1000+AQ39/AQ42*100+AT39/AT42*10+AR39/AR42</f>
        <v>0</v>
      </c>
      <c r="AM39" s="39">
        <f>VLOOKUP(AB39,db_fifarank,2,0)/2000000</f>
        <v>0.00051599999999999997</v>
      </c>
      <c r="AN39" s="41">
        <f>1000*AK39/AK42+100*AJ39+10*AF39/AF42+1*AL39/AL42+AM39</f>
        <v>1524.16718266667</v>
      </c>
      <c r="AO39" s="41" t="str">
        <f>IF(SUM(AC38:AE41)=12,J40,INDEX(T,81,lang))</f>
        <v>México</v>
      </c>
      <c r="AP39" s="39">
        <f>SUMPRODUCT(($S$7:$S$54=AB39&amp;"_win")*($U$7:$U$54))+SUMPRODUCT(($T$7:$T$54=AB39&amp;"_win")*($U$7:$U$54))</f>
        <v>0</v>
      </c>
      <c r="AQ39" s="39">
        <f>SUMPRODUCT(($S$7:$S$54=AB39&amp;"_draw")*($U$7:$U$54))+SUMPRODUCT(($T$7:$T$54=AB39&amp;"_draw")*($U$7:$U$54))</f>
        <v>0</v>
      </c>
      <c r="AR39" s="39">
        <f>SUMPRODUCT(($E$7:$E$54=AB39)*($U$7:$U$54)*($F$7:$F$54))+SUMPRODUCT(($H$7:$H$54=AB39)*($U$7:$U$54)*($G$7:$G$54))</f>
        <v>0</v>
      </c>
      <c r="AS39" s="39">
        <f>SUMPRODUCT(($E$7:$E$54=AB39)*($U$7:$U$54)*($G$7:$G$54))+SUMPRODUCT(($H$7:$H$54=AB39)*($U$7:$U$54)*($F$7:$F$54))</f>
        <v>0</v>
      </c>
      <c r="AT39" s="39">
        <f>AR39-AS39</f>
        <v>0</v>
      </c>
      <c r="AY39" s="75"/>
      <c r="AZ39" s="79" t="str">
        <f>AO45</f>
        <v>Inglaterra</v>
      </c>
      <c r="BA39" s="80">
        <v>1</v>
      </c>
      <c r="BB39" s="81">
        <v>4</v>
      </c>
      <c r="BC39" s="67"/>
      <c r="BD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</row>
    <row ht="15" customHeight="1" r="40">
      <c r="A40" s="56">
        <v>34</v>
      </c>
      <c r="B40" s="57" t="str">
        <f>INDEX(T,18+INT(MOD(R40-1,7)),lang)</f>
        <v>Mon</v>
      </c>
      <c r="C40" s="58" t="str">
        <f>INDEX(T,24+MONTH(R40),lang) &amp; " " &amp; DAY(R40) &amp; ", " &amp; YEAR(R40)</f>
        <v xml:space="preserve">Jun 25, 2018</v>
      </c>
      <c r="D40" s="59">
        <f>TIME(HOUR(R40),MINUTE(R40),0)</f>
        <v>0.41666666666666702</v>
      </c>
      <c r="E40" s="60" t="str">
        <f>AB9</f>
        <v xml:space="preserve">Arabia Saudita</v>
      </c>
      <c r="F40" s="61">
        <v>2</v>
      </c>
      <c r="G40" s="62">
        <v>1</v>
      </c>
      <c r="H40" s="63" t="str">
        <f>AB10</f>
        <v>Egipto</v>
      </c>
      <c r="J40" s="72" t="str">
        <f>VLOOKUP(2,AA38:AK41,2,0)</f>
        <v>México</v>
      </c>
      <c r="K40" s="73">
        <f>L40+M40+N40</f>
        <v>3</v>
      </c>
      <c r="L40" s="73">
        <f>VLOOKUP(2,AA38:AK41,3,0)</f>
        <v>2</v>
      </c>
      <c r="M40" s="73">
        <f>VLOOKUP(2,AA38:AK41,4,0)</f>
        <v>0</v>
      </c>
      <c r="N40" s="73">
        <f>VLOOKUP(2,AA38:AK41,5,0)</f>
        <v>1</v>
      </c>
      <c r="O40" s="73" t="str">
        <f>VLOOKUP(2,AA38:AK41,6,0) &amp; " - " &amp; VLOOKUP(2,AA38:AK41,7,0)</f>
        <v xml:space="preserve">3 - 4</v>
      </c>
      <c r="P40" s="74">
        <f>L40*3+M40</f>
        <v>6</v>
      </c>
      <c r="R40" s="39">
        <f>DATE(2018,6,25)+TIME(3,0,0)+gmt_delta</f>
        <v>43276.416666666701</v>
      </c>
      <c r="S40" s="40" t="str">
        <f>IF(OR(F40="",G40=""),"",IF(F40&gt;G40,E40&amp;"_win",IF(F40&lt;G40,E40&amp;"_lose",E40&amp;"_draw")))</f>
        <v xml:space="preserve">Arabia Saudita_win</v>
      </c>
      <c r="T40" s="40" t="str">
        <f>IF(S40="","",IF(F40&lt;G40,H40&amp;"_win",IF(F40&gt;G40,H40&amp;"_lose",H40&amp;"_draw")))</f>
        <v>Egipto_lose</v>
      </c>
      <c r="U40" s="41">
        <f>IF(S40="",0,IF(VLOOKUP(E40,$AB$8:$AK$53,7,0)=VLOOKUP(H40,$AB$8:$AK$53,7,0),1,0))</f>
        <v>0</v>
      </c>
      <c r="V40" s="39">
        <f>U40*F40</f>
        <v>0</v>
      </c>
      <c r="W40" s="39">
        <f>U40*G40</f>
        <v>0</v>
      </c>
      <c r="X40" s="39">
        <f>IF(OR(E40=my_team,H40=my_team),1,0)</f>
        <v>0</v>
      </c>
      <c r="Y40" s="39">
        <f>IF(OR(F40="",G40=""),"",IF(F40&gt;G40,1,IF(F40&lt;G40,-1,0)))</f>
        <v>1</v>
      </c>
      <c r="AA40" s="39">
        <f>COUNTIF(AN38:AN41,CONCATENATE("&gt;=",AN40))</f>
        <v>1</v>
      </c>
      <c r="AB40" s="41" t="str">
        <f>VLOOKUP("Sweden",T,lang,0)</f>
        <v>Suecia</v>
      </c>
      <c r="AC40" s="39">
        <f>COUNTIF($S$7:$T$54,"=" &amp; AB40 &amp; "_win")</f>
        <v>2</v>
      </c>
      <c r="AD40" s="39">
        <f>COUNTIF($S$7:$T$54,"=" &amp; AB40 &amp; "_draw")</f>
        <v>0</v>
      </c>
      <c r="AE40" s="39">
        <f>COUNTIF($S$7:$T$54,"=" &amp; AB40 &amp; "_lose")</f>
        <v>1</v>
      </c>
      <c r="AF40" s="39">
        <f>SUMIF($E$7:$E$54,$AB40,$F$7:$F$54) + SUMIF($H$7:$H$54,$AB40,$G$7:$G$54)</f>
        <v>5</v>
      </c>
      <c r="AG40" s="39">
        <f>SUMIF($E$7:$E$54,$AB40,$G$7:$G$54) + SUMIF($H$7:$H$54,$AB40,$F$7:$F$54)</f>
        <v>2</v>
      </c>
      <c r="AH40" s="39">
        <f>(AF40-AG40)*100+AK40*10000+AF40</f>
        <v>60305</v>
      </c>
      <c r="AI40" s="39">
        <f>AF40-AG40</f>
        <v>3</v>
      </c>
      <c r="AJ40" s="39">
        <f>(AI40-AI43)/AI42</f>
        <v>0.83333333333333304</v>
      </c>
      <c r="AK40" s="39">
        <f>AC40*3+AD40</f>
        <v>6</v>
      </c>
      <c r="AL40" s="39">
        <f>AP40/AP42*1000+AQ40/AQ42*100+AT40/AT42*10+AR40/AR42</f>
        <v>0</v>
      </c>
      <c r="AM40" s="39">
        <f>VLOOKUP(AB40,db_fifarank,2,0)/2000000</f>
        <v>0.00049899999999999999</v>
      </c>
      <c r="AN40" s="41">
        <f>1000*AK40/AK42+100*AJ40+10*AF40/AF42+1*AL40/AL42+AM40</f>
        <v>1595.8338323333301</v>
      </c>
      <c r="AP40" s="39">
        <f>SUMPRODUCT(($S$7:$S$54=AB40&amp;"_win")*($U$7:$U$54))+SUMPRODUCT(($T$7:$T$54=AB40&amp;"_win")*($U$7:$U$54))</f>
        <v>0</v>
      </c>
      <c r="AQ40" s="39">
        <f>SUMPRODUCT(($S$7:$S$54=AB40&amp;"_draw")*($U$7:$U$54))+SUMPRODUCT(($T$7:$T$54=AB40&amp;"_draw")*($U$7:$U$54))</f>
        <v>0</v>
      </c>
      <c r="AR40" s="39">
        <f>SUMPRODUCT(($E$7:$E$54=AB40)*($U$7:$U$54)*($F$7:$F$54))+SUMPRODUCT(($H$7:$H$54=AB40)*($U$7:$U$54)*($G$7:$G$54))</f>
        <v>0</v>
      </c>
      <c r="AS40" s="39">
        <f>SUMPRODUCT(($E$7:$E$54=AB40)*($U$7:$U$54)*($G$7:$G$54))+SUMPRODUCT(($H$7:$H$54=AB40)*($U$7:$U$54)*($F$7:$F$54))</f>
        <v>0</v>
      </c>
      <c r="AT40" s="39">
        <f>AR40-AS40</f>
        <v>0</v>
      </c>
    </row>
    <row ht="15" customHeight="1" r="41">
      <c r="A41" s="56">
        <v>35</v>
      </c>
      <c r="B41" s="57" t="str">
        <f>INDEX(T,18+INT(MOD(R41-1,7)),lang)</f>
        <v>Mon</v>
      </c>
      <c r="C41" s="58" t="str">
        <f>INDEX(T,24+MONTH(R41),lang) &amp; " " &amp; DAY(R41) &amp; ", " &amp; YEAR(R41)</f>
        <v xml:space="preserve">Jun 25, 2018</v>
      </c>
      <c r="D41" s="59">
        <f>TIME(HOUR(R41),MINUTE(R41),0)</f>
        <v>0.58333333333333304</v>
      </c>
      <c r="E41" s="60" t="str">
        <f>AB17</f>
        <v>Irán</v>
      </c>
      <c r="F41" s="61">
        <v>1</v>
      </c>
      <c r="G41" s="62">
        <v>1</v>
      </c>
      <c r="H41" s="63" t="str">
        <f>AB14</f>
        <v>Portugal</v>
      </c>
      <c r="J41" s="72" t="str">
        <f>VLOOKUP(3,AA38:AK41,2,0)</f>
        <v xml:space="preserve">República de Corea</v>
      </c>
      <c r="K41" s="73">
        <f>L41+M41+N41</f>
        <v>3</v>
      </c>
      <c r="L41" s="73">
        <f>VLOOKUP(3,AA38:AK41,3,0)</f>
        <v>1</v>
      </c>
      <c r="M41" s="73">
        <f>VLOOKUP(3,AA38:AK41,4,0)</f>
        <v>0</v>
      </c>
      <c r="N41" s="73">
        <f>VLOOKUP(3,AA38:AK41,5,0)</f>
        <v>2</v>
      </c>
      <c r="O41" s="73" t="str">
        <f>VLOOKUP(3,AA38:AK41,6,0) &amp; " - " &amp; VLOOKUP(3,AA38:AK41,7,0)</f>
        <v xml:space="preserve">3 - 3</v>
      </c>
      <c r="P41" s="74">
        <f>L41*3+M41</f>
        <v>3</v>
      </c>
      <c r="R41" s="39">
        <f>DATE(2018,6,25)+TIME(7,0,0)+gmt_delta</f>
        <v>43276.583333333299</v>
      </c>
      <c r="S41" s="40" t="str">
        <f>IF(OR(F41="",G41=""),"",IF(F41&gt;G41,E41&amp;"_win",IF(F41&lt;G41,E41&amp;"_lose",E41&amp;"_draw")))</f>
        <v>Irán_draw</v>
      </c>
      <c r="T41" s="40" t="str">
        <f>IF(S41="","",IF(F41&lt;G41,H41&amp;"_win",IF(F41&gt;G41,H41&amp;"_lose",H41&amp;"_draw")))</f>
        <v>Portugal_draw</v>
      </c>
      <c r="U41" s="41">
        <f>IF(S41="",0,IF(VLOOKUP(E41,$AB$8:$AK$53,7,0)=VLOOKUP(H41,$AB$8:$AK$53,7,0),1,0))</f>
        <v>0</v>
      </c>
      <c r="V41" s="39">
        <f>U41*F41</f>
        <v>0</v>
      </c>
      <c r="W41" s="39">
        <f>U41*G41</f>
        <v>0</v>
      </c>
      <c r="X41" s="39">
        <f>IF(OR(E41=my_team,H41=my_team),1,0)</f>
        <v>0</v>
      </c>
      <c r="Y41" s="39">
        <f>IF(OR(F41="",G41=""),"",IF(F41&gt;G41,1,IF(F41&lt;G41,-1,0)))</f>
        <v>0</v>
      </c>
      <c r="AA41" s="39">
        <f>COUNTIF(AN38:AN41,CONCATENATE("&gt;=",AN41))</f>
        <v>3</v>
      </c>
      <c r="AB41" s="41" t="str">
        <f>VLOOKUP("Korea Republic",T,lang,0)</f>
        <v xml:space="preserve">República de Corea</v>
      </c>
      <c r="AC41" s="39">
        <f>COUNTIF($S$7:$T$54,"=" &amp; AB41 &amp; "_win")</f>
        <v>1</v>
      </c>
      <c r="AD41" s="39">
        <f>COUNTIF($S$7:$T$54,"=" &amp; AB41 &amp; "_draw")</f>
        <v>0</v>
      </c>
      <c r="AE41" s="39">
        <f>COUNTIF($S$7:$T$54,"=" &amp; AB41 &amp; "_lose")</f>
        <v>2</v>
      </c>
      <c r="AF41" s="39">
        <f>SUMIF($E$7:$E$54,$AB41,$F$7:$F$54) + SUMIF($H$7:$H$54,$AB41,$G$7:$G$54)</f>
        <v>3</v>
      </c>
      <c r="AG41" s="39">
        <f>SUMIF($E$7:$E$54,$AB41,$G$7:$G$54) + SUMIF($H$7:$H$54,$AB41,$F$7:$F$54)</f>
        <v>3</v>
      </c>
      <c r="AH41" s="39">
        <f>(AF41-AG41)*100+AK41*10000+AF41</f>
        <v>30003</v>
      </c>
      <c r="AI41" s="39">
        <f>AF41-AG41</f>
        <v>0</v>
      </c>
      <c r="AJ41" s="39">
        <f>(AI41-AI43)/AI42</f>
        <v>0.33333333333333298</v>
      </c>
      <c r="AK41" s="39">
        <f>AC41*3+AD41</f>
        <v>3</v>
      </c>
      <c r="AL41" s="39">
        <f>AP41/AP42*1000+AQ41/AQ42*100+AT41/AT42*10+AR41/AR42</f>
        <v>0</v>
      </c>
      <c r="AM41" s="39">
        <f>VLOOKUP(AB41,db_fifarank,2,0)/2000000</f>
        <v>0.00028499999999999999</v>
      </c>
      <c r="AN41" s="41">
        <f>1000*AK41/AK42+100*AJ41+10*AF41/AF42+1*AL41/AL42+AM41</f>
        <v>790.83361833333299</v>
      </c>
      <c r="AP41" s="39">
        <f>SUMPRODUCT(($S$7:$S$54=AB41&amp;"_win")*($U$7:$U$54))+SUMPRODUCT(($T$7:$T$54=AB41&amp;"_win")*($U$7:$U$54))</f>
        <v>0</v>
      </c>
      <c r="AQ41" s="39">
        <f>SUMPRODUCT(($S$7:$S$54=AB41&amp;"_draw")*($U$7:$U$54))+SUMPRODUCT(($T$7:$T$54=AB41&amp;"_draw")*($U$7:$U$54))</f>
        <v>0</v>
      </c>
      <c r="AR41" s="39">
        <f>SUMPRODUCT(($E$7:$E$54=AB41)*($U$7:$U$54)*($F$7:$F$54))+SUMPRODUCT(($H$7:$H$54=AB41)*($U$7:$U$54)*($G$7:$G$54))</f>
        <v>0</v>
      </c>
      <c r="AS41" s="39">
        <f>SUMPRODUCT(($E$7:$E$54=AB41)*($U$7:$U$54)*($G$7:$G$54))+SUMPRODUCT(($H$7:$H$54=AB41)*($U$7:$U$54)*($F$7:$F$54))</f>
        <v>0</v>
      </c>
      <c r="AT41" s="39">
        <f>AR41-AS41</f>
        <v>0</v>
      </c>
      <c r="BJ41" s="94" t="str">
        <f>INDEX(T,102,lang)</f>
        <v xml:space="preserve">Campeón 2018</v>
      </c>
      <c r="BK41" s="94"/>
      <c r="BL41" s="94"/>
      <c r="BM41" s="94"/>
      <c r="BN41" s="94"/>
      <c r="BO41" s="95" t="str">
        <f>S85</f>
        <v>Francia</v>
      </c>
      <c r="BP41" s="95"/>
      <c r="BQ41" s="95"/>
      <c r="BR41" s="95"/>
      <c r="BS41" s="95"/>
      <c r="BT41" s="95"/>
    </row>
    <row ht="15" customHeight="1" r="42">
      <c r="A42" s="56">
        <v>36</v>
      </c>
      <c r="B42" s="57" t="str">
        <f>INDEX(T,18+INT(MOD(R42-1,7)),lang)</f>
        <v>Mon</v>
      </c>
      <c r="C42" s="58" t="str">
        <f>INDEX(T,24+MONTH(R42),lang) &amp; " " &amp; DAY(R42) &amp; ", " &amp; YEAR(R42)</f>
        <v xml:space="preserve">Jun 25, 2018</v>
      </c>
      <c r="D42" s="59">
        <f>TIME(HOUR(R42),MINUTE(R42),0)</f>
        <v>0.58333333333333304</v>
      </c>
      <c r="E42" s="60" t="str">
        <f>AB15</f>
        <v>España</v>
      </c>
      <c r="F42" s="61">
        <v>2</v>
      </c>
      <c r="G42" s="62">
        <v>2</v>
      </c>
      <c r="H42" s="63" t="str">
        <f>AB16</f>
        <v>Marruecos</v>
      </c>
      <c r="J42" s="84" t="str">
        <f>VLOOKUP(4,AA38:AK41,2,0)</f>
        <v>Alemania</v>
      </c>
      <c r="K42" s="85">
        <f>L42+M42+N42</f>
        <v>3</v>
      </c>
      <c r="L42" s="85">
        <f>VLOOKUP(4,AA38:AK41,3,0)</f>
        <v>1</v>
      </c>
      <c r="M42" s="85">
        <f>VLOOKUP(4,AA38:AK41,4,0)</f>
        <v>0</v>
      </c>
      <c r="N42" s="85">
        <f>VLOOKUP(4,AA38:AK41,5,0)</f>
        <v>2</v>
      </c>
      <c r="O42" s="85" t="str">
        <f>VLOOKUP(4,AA38:AK41,6,0) &amp; " - " &amp; VLOOKUP(4,AA38:AK41,7,0)</f>
        <v xml:space="preserve">2 - 4</v>
      </c>
      <c r="P42" s="86">
        <f>L42*3+M42</f>
        <v>3</v>
      </c>
      <c r="R42" s="39">
        <f>DATE(2018,6,25)+TIME(7,0,0)+gmt_delta</f>
        <v>43276.583333333299</v>
      </c>
      <c r="S42" s="40" t="str">
        <f>IF(OR(F42="",G42=""),"",IF(F42&gt;G42,E42&amp;"_win",IF(F42&lt;G42,E42&amp;"_lose",E42&amp;"_draw")))</f>
        <v>España_draw</v>
      </c>
      <c r="T42" s="40" t="str">
        <f>IF(S42="","",IF(F42&lt;G42,H42&amp;"_win",IF(F42&gt;G42,H42&amp;"_lose",H42&amp;"_draw")))</f>
        <v>Marruecos_draw</v>
      </c>
      <c r="U42" s="41">
        <f>IF(S42="",0,IF(VLOOKUP(E42,$AB$8:$AK$53,7,0)=VLOOKUP(H42,$AB$8:$AK$53,7,0),1,0))</f>
        <v>0</v>
      </c>
      <c r="V42" s="39">
        <f>U42*F42</f>
        <v>0</v>
      </c>
      <c r="W42" s="39">
        <f>U42*G42</f>
        <v>0</v>
      </c>
      <c r="X42" s="39">
        <f>IF(OR(E42=my_team,H42=my_team),1,0)</f>
        <v>0</v>
      </c>
      <c r="Y42" s="39">
        <f>IF(OR(F42="",G42=""),"",IF(F42&gt;G42,1,IF(F42&lt;G42,-1,0)))</f>
        <v>0</v>
      </c>
      <c r="AC42" s="39">
        <f>MAX(AC38:AC41)-MIN(AC38:AC41)+1</f>
        <v>2</v>
      </c>
      <c r="AD42" s="39">
        <f>MAX(AD38:AD41)-MIN(AD38:AD41)+1</f>
        <v>1</v>
      </c>
      <c r="AE42" s="39">
        <f>MAX(AE38:AE41)-MIN(AE38:AE41)+1</f>
        <v>2</v>
      </c>
      <c r="AF42" s="39">
        <f>MAX(AF38:AF41)-MIN(AF38:AF41)+1</f>
        <v>4</v>
      </c>
      <c r="AG42" s="39">
        <f>MAX(AG38:AG41)-MIN(AG38:AG41)+1</f>
        <v>3</v>
      </c>
      <c r="AH42" s="39">
        <f>MAX(AH38:AH41)-AH43+1</f>
        <v>30504</v>
      </c>
      <c r="AI42" s="39">
        <f>MAX(AI38:AI41)-AI43+1</f>
        <v>6</v>
      </c>
      <c r="AK42" s="39">
        <f>MAX(AK38:AK41)-MIN(AK38:AK41)+1</f>
        <v>4</v>
      </c>
      <c r="AL42" s="39">
        <f>MAX(AL38:AL41)-MIN(AL38:AL41)+1</f>
        <v>1</v>
      </c>
      <c r="AP42" s="39">
        <f>MAX(AP38:AP41)-MIN(AP38:AP41)+1</f>
        <v>1</v>
      </c>
      <c r="AQ42" s="39">
        <f>MAX(AQ38:AQ41)-MIN(AQ38:AQ41)+1</f>
        <v>1</v>
      </c>
      <c r="AR42" s="39">
        <f>MAX(AR38:AR41)-MIN(AR38:AR41)+1</f>
        <v>1</v>
      </c>
      <c r="AS42" s="39">
        <f>MAX(AS38:AS41)-MIN(AS38:AS41)+1</f>
        <v>1</v>
      </c>
      <c r="AT42" s="39">
        <f>MAX(AT38:AT41)-MIN(AT38:AT41)+1</f>
        <v>1</v>
      </c>
      <c r="BJ42" s="94"/>
      <c r="BK42" s="94"/>
      <c r="BL42" s="94"/>
      <c r="BM42" s="94"/>
      <c r="BN42" s="94"/>
      <c r="BO42" s="95"/>
      <c r="BP42" s="95"/>
      <c r="BQ42" s="95"/>
      <c r="BR42" s="95"/>
      <c r="BS42" s="95"/>
      <c r="BT42" s="95"/>
    </row>
    <row ht="15" customHeight="1" r="43">
      <c r="A43" s="56">
        <v>37</v>
      </c>
      <c r="B43" s="57" t="str">
        <f>INDEX(T,18+INT(MOD(R43-1,7)),lang)</f>
        <v>Tue</v>
      </c>
      <c r="C43" s="58" t="str">
        <f>INDEX(T,24+MONTH(R43),lang) &amp; " " &amp; DAY(R43) &amp; ", " &amp; YEAR(R43)</f>
        <v xml:space="preserve">Jun 26, 2018</v>
      </c>
      <c r="D43" s="59">
        <f>TIME(HOUR(R43),MINUTE(R43),0)</f>
        <v>0.41666666666666702</v>
      </c>
      <c r="E43" s="60" t="str">
        <f>AB23</f>
        <v>Dinamarca</v>
      </c>
      <c r="F43" s="61">
        <v>0</v>
      </c>
      <c r="G43" s="62">
        <v>0</v>
      </c>
      <c r="H43" s="63" t="str">
        <f>AB20</f>
        <v>Francia</v>
      </c>
      <c r="R43" s="39">
        <f>DATE(2018,6,26)+TIME(3,0,0)+gmt_delta</f>
        <v>43277.416666666701</v>
      </c>
      <c r="S43" s="40" t="str">
        <f>IF(OR(F43="",G43=""),"",IF(F43&gt;G43,E43&amp;"_win",IF(F43&lt;G43,E43&amp;"_lose",E43&amp;"_draw")))</f>
        <v>Dinamarca_draw</v>
      </c>
      <c r="T43" s="40" t="str">
        <f>IF(S43="","",IF(F43&lt;G43,H43&amp;"_win",IF(F43&gt;G43,H43&amp;"_lose",H43&amp;"_draw")))</f>
        <v>Francia_draw</v>
      </c>
      <c r="U43" s="41">
        <f>IF(S43="",0,IF(VLOOKUP(E43,$AB$8:$AK$53,7,0)=VLOOKUP(H43,$AB$8:$AK$53,7,0),1,0))</f>
        <v>0</v>
      </c>
      <c r="V43" s="39">
        <f>U43*F43</f>
        <v>0</v>
      </c>
      <c r="W43" s="39">
        <f>U43*G43</f>
        <v>0</v>
      </c>
      <c r="X43" s="39">
        <f>IF(OR(E43=my_team,H43=my_team),1,0)</f>
        <v>0</v>
      </c>
      <c r="Y43" s="39">
        <f>IF(OR(F43="",G43=""),"",IF(F43&gt;G43,1,IF(F43&lt;G43,-1,0)))</f>
        <v>0</v>
      </c>
      <c r="AH43" s="39">
        <f>MIN(AH38:AH41)</f>
        <v>29802</v>
      </c>
      <c r="AI43" s="39">
        <f>MIN(AI38:AI41)</f>
        <v>-2</v>
      </c>
      <c r="AY43" s="96"/>
    </row>
    <row ht="15" customHeight="1" r="44">
      <c r="A44" s="56">
        <v>38</v>
      </c>
      <c r="B44" s="57" t="str">
        <f>INDEX(T,18+INT(MOD(R44-1,7)),lang)</f>
        <v>Tue</v>
      </c>
      <c r="C44" s="58" t="str">
        <f>INDEX(T,24+MONTH(R44),lang) &amp; " " &amp; DAY(R44) &amp; ", " &amp; YEAR(R44)</f>
        <v xml:space="preserve">Jun 26, 2018</v>
      </c>
      <c r="D44" s="59">
        <f>TIME(HOUR(R44),MINUTE(R44),0)</f>
        <v>0.41666666666666702</v>
      </c>
      <c r="E44" s="60" t="str">
        <f>AB21</f>
        <v>Australia</v>
      </c>
      <c r="F44" s="61">
        <v>0</v>
      </c>
      <c r="G44" s="62">
        <v>2</v>
      </c>
      <c r="H44" s="63" t="str">
        <f>AB22</f>
        <v>Perú</v>
      </c>
      <c r="J44" s="64" t="str">
        <f>INDEX(T,9,lang) &amp; " " &amp; "G"</f>
        <v xml:space="preserve">Grupo G</v>
      </c>
      <c r="K44" s="65" t="str">
        <f>INDEX(T,10,lang)</f>
        <v>J</v>
      </c>
      <c r="L44" s="65" t="str">
        <f>INDEX(T,11,lang)</f>
        <v>G</v>
      </c>
      <c r="M44" s="65" t="str">
        <f>INDEX(T,12,lang)</f>
        <v>DRAW</v>
      </c>
      <c r="N44" s="65" t="str">
        <f>INDEX(T,13,lang)</f>
        <v>P</v>
      </c>
      <c r="O44" s="65" t="str">
        <f>INDEX(T,14,lang)</f>
        <v xml:space="preserve">GF - GC</v>
      </c>
      <c r="P44" s="66" t="str">
        <f>INDEX(T,15,lang)</f>
        <v>PTS</v>
      </c>
      <c r="R44" s="39">
        <f>DATE(2018,6,26)+TIME(3,0,0)+gmt_delta</f>
        <v>43277.416666666701</v>
      </c>
      <c r="S44" s="40" t="str">
        <f>IF(OR(F44="",G44=""),"",IF(F44&gt;G44,E44&amp;"_win",IF(F44&lt;G44,E44&amp;"_lose",E44&amp;"_draw")))</f>
        <v>Australia_lose</v>
      </c>
      <c r="T44" s="40" t="str">
        <f>IF(S44="","",IF(F44&lt;G44,H44&amp;"_win",IF(F44&gt;G44,H44&amp;"_lose",H44&amp;"_draw")))</f>
        <v>Perú_win</v>
      </c>
      <c r="U44" s="41">
        <f>IF(S44="",0,IF(VLOOKUP(E44,$AB$8:$AK$53,7,0)=VLOOKUP(H44,$AB$8:$AK$53,7,0),1,0))</f>
        <v>0</v>
      </c>
      <c r="V44" s="39">
        <f>U44*F44</f>
        <v>0</v>
      </c>
      <c r="W44" s="39">
        <f>U44*G44</f>
        <v>0</v>
      </c>
      <c r="X44" s="39">
        <f>IF(OR(E44=my_team,H44=my_team),1,0)</f>
        <v>0</v>
      </c>
      <c r="Y44" s="39">
        <f>IF(OR(F44="",G44=""),"",IF(F44&gt;G44,1,IF(F44&lt;G44,-1,0)))</f>
        <v>-1</v>
      </c>
      <c r="AA44" s="39">
        <f>COUNTIF(AN44:AN47,CONCATENATE("&gt;=",AN44))</f>
        <v>1</v>
      </c>
      <c r="AB44" s="41" t="str">
        <f>VLOOKUP("Belgium",T,lang,0)</f>
        <v>Bélgica</v>
      </c>
      <c r="AC44" s="39">
        <f>COUNTIF($S$7:$T$54,"=" &amp; AB44 &amp; "_win")</f>
        <v>3</v>
      </c>
      <c r="AD44" s="39">
        <f>COUNTIF($S$7:$T$54,"=" &amp; AB44 &amp; "_draw")</f>
        <v>0</v>
      </c>
      <c r="AE44" s="39">
        <f>COUNTIF($S$7:$T$54,"=" &amp; AB44 &amp; "_lose")</f>
        <v>0</v>
      </c>
      <c r="AF44" s="39">
        <f>SUMIF($E$7:$E$54,$AB44,$F$7:$F$54) + SUMIF($H$7:$H$54,$AB44,$G$7:$G$54)</f>
        <v>9</v>
      </c>
      <c r="AG44" s="39">
        <f>SUMIF($E$7:$E$54,$AB44,$G$7:$G$54) + SUMIF($H$7:$H$54,$AB44,$F$7:$F$54)</f>
        <v>2</v>
      </c>
      <c r="AH44" s="39">
        <f>(AF44-AG44)*100+AK44*10000+AF44</f>
        <v>90709</v>
      </c>
      <c r="AI44" s="39">
        <f>AF44-AG44</f>
        <v>7</v>
      </c>
      <c r="AJ44" s="39">
        <f>(AI44-AI49)/AI48</f>
        <v>0.94117647058823495</v>
      </c>
      <c r="AK44" s="39">
        <f>AC44*3+AD44</f>
        <v>9</v>
      </c>
      <c r="AL44" s="39">
        <f>AP44/AP48*1000+AQ44/AQ48*100+AT44/AT48*10+AR44/AR48</f>
        <v>0</v>
      </c>
      <c r="AM44" s="39">
        <f>VLOOKUP(AB44,db_fifarank,2,0)/2000000</f>
        <v>0.0006625</v>
      </c>
      <c r="AN44" s="41">
        <f>1000*AK44/AK48+100*AJ44+10*AF44/AF48+1*AL44/AL48+AM44</f>
        <v>1005.36830955882</v>
      </c>
      <c r="AO44" s="41" t="str">
        <f>IF(SUM(AC44:AE47)=12,J45,INDEX(T,82,lang))</f>
        <v>Bélgica</v>
      </c>
      <c r="AP44" s="39">
        <f>SUMPRODUCT(($S$7:$S$54=AB44&amp;"_win")*($U$7:$U$54))+SUMPRODUCT(($T$7:$T$54=AB44&amp;"_win")*($U$7:$U$54))</f>
        <v>0</v>
      </c>
      <c r="AQ44" s="39">
        <f>SUMPRODUCT(($S$7:$S$54=AB44&amp;"_draw")*($U$7:$U$54))+SUMPRODUCT(($T$7:$T$54=AB44&amp;"_draw")*($U$7:$U$54))</f>
        <v>0</v>
      </c>
      <c r="AR44" s="39">
        <f>SUMPRODUCT(($E$7:$E$54=AB44)*($U$7:$U$54)*($F$7:$F$54))+SUMPRODUCT(($H$7:$H$54=AB44)*($U$7:$U$54)*($G$7:$G$54))</f>
        <v>0</v>
      </c>
      <c r="AS44" s="39">
        <f>SUMPRODUCT(($E$7:$E$54=AB44)*($U$7:$U$54)*($G$7:$G$54))+SUMPRODUCT(($H$7:$H$54=AB44)*($U$7:$U$54)*($F$7:$F$54))</f>
        <v>0</v>
      </c>
      <c r="AT44" s="39">
        <f>AR44-AS44</f>
        <v>0</v>
      </c>
    </row>
    <row ht="15" customHeight="1" r="45">
      <c r="A45" s="56">
        <v>39</v>
      </c>
      <c r="B45" s="57" t="str">
        <f>INDEX(T,18+INT(MOD(R45-1,7)),lang)</f>
        <v>Tue</v>
      </c>
      <c r="C45" s="58" t="str">
        <f>INDEX(T,24+MONTH(R45),lang) &amp; " " &amp; DAY(R45) &amp; ", " &amp; YEAR(R45)</f>
        <v xml:space="preserve">Jun 26, 2018</v>
      </c>
      <c r="D45" s="59">
        <f>TIME(HOUR(R45),MINUTE(R45),0)</f>
        <v>0.58333333333333304</v>
      </c>
      <c r="E45" s="60" t="str">
        <f>AB29</f>
        <v>Nigeria</v>
      </c>
      <c r="F45" s="61">
        <v>1</v>
      </c>
      <c r="G45" s="62">
        <v>2</v>
      </c>
      <c r="H45" s="63" t="str">
        <f>AB26</f>
        <v>Argentina</v>
      </c>
      <c r="J45" s="68" t="str">
        <f>VLOOKUP(1,AA44:AK47,2,0)</f>
        <v>Bélgica</v>
      </c>
      <c r="K45" s="69">
        <f>L45+M45+N45</f>
        <v>3</v>
      </c>
      <c r="L45" s="69">
        <f>VLOOKUP(1,AA44:AK47,3,0)</f>
        <v>3</v>
      </c>
      <c r="M45" s="69">
        <f>VLOOKUP(1,AA44:AK47,4,0)</f>
        <v>0</v>
      </c>
      <c r="N45" s="69">
        <f>VLOOKUP(1,AA44:AK47,5,0)</f>
        <v>0</v>
      </c>
      <c r="O45" s="69" t="str">
        <f>VLOOKUP(1,AA44:AK47,6,0) &amp; " - " &amp; VLOOKUP(1,AA44:AK47,7,0)</f>
        <v xml:space="preserve">9 - 2</v>
      </c>
      <c r="P45" s="70">
        <f>L45*3+M45</f>
        <v>9</v>
      </c>
      <c r="R45" s="39">
        <f>DATE(2018,6,26)+TIME(7,0,0)+gmt_delta</f>
        <v>43277.583333333299</v>
      </c>
      <c r="S45" s="40" t="str">
        <f>IF(OR(F45="",G45=""),"",IF(F45&gt;G45,E45&amp;"_win",IF(F45&lt;G45,E45&amp;"_lose",E45&amp;"_draw")))</f>
        <v>Nigeria_lose</v>
      </c>
      <c r="T45" s="40" t="str">
        <f>IF(S45="","",IF(F45&lt;G45,H45&amp;"_win",IF(F45&gt;G45,H45&amp;"_lose",H45&amp;"_draw")))</f>
        <v>Argentina_win</v>
      </c>
      <c r="U45" s="41">
        <f>IF(S45="",0,IF(VLOOKUP(E45,$AB$8:$AK$53,7,0)=VLOOKUP(H45,$AB$8:$AK$53,7,0),1,0))</f>
        <v>0</v>
      </c>
      <c r="V45" s="39">
        <f>U45*F45</f>
        <v>0</v>
      </c>
      <c r="W45" s="39">
        <f>U45*G45</f>
        <v>0</v>
      </c>
      <c r="X45" s="39">
        <f>IF(OR(E45=my_team,H45=my_team),1,0)</f>
        <v>0</v>
      </c>
      <c r="Y45" s="39">
        <f>IF(OR(F45="",G45=""),"",IF(F45&gt;G45,1,IF(F45&lt;G45,-1,0)))</f>
        <v>-1</v>
      </c>
      <c r="AA45" s="39">
        <f>COUNTIF(AN44:AN47,CONCATENATE("&gt;=",AN45))</f>
        <v>4</v>
      </c>
      <c r="AB45" s="41" t="str">
        <f>VLOOKUP("Panama",T,lang,0)</f>
        <v>Panamá</v>
      </c>
      <c r="AC45" s="39">
        <f>COUNTIF($S$7:$T$54,"=" &amp; AB45 &amp; "_win")</f>
        <v>0</v>
      </c>
      <c r="AD45" s="39">
        <f>COUNTIF($S$7:$T$54,"=" &amp; AB45 &amp; "_draw")</f>
        <v>0</v>
      </c>
      <c r="AE45" s="39">
        <f>COUNTIF($S$7:$T$54,"=" &amp; AB45 &amp; "_lose")</f>
        <v>3</v>
      </c>
      <c r="AF45" s="39">
        <f>SUMIF($E$7:$E$54,$AB45,$F$7:$F$54) + SUMIF($H$7:$H$54,$AB45,$G$7:$G$54)</f>
        <v>2</v>
      </c>
      <c r="AG45" s="39">
        <f>SUMIF($E$7:$E$54,$AB45,$G$7:$G$54) + SUMIF($H$7:$H$54,$AB45,$F$7:$F$54)</f>
        <v>11</v>
      </c>
      <c r="AH45" s="39">
        <f>(AF45-AG45)*100+AK45*10000+AF45</f>
        <v>-898</v>
      </c>
      <c r="AI45" s="39">
        <f>AF45-AG45</f>
        <v>-9</v>
      </c>
      <c r="AJ45" s="39">
        <f>(AI45-AI49)/AI48</f>
        <v>0</v>
      </c>
      <c r="AK45" s="39">
        <f>AC45*3+AD45</f>
        <v>0</v>
      </c>
      <c r="AL45" s="39">
        <f>AP45/AP48*1000+AQ45/AQ48*100+AT45/AT48*10+AR45/AR48</f>
        <v>0</v>
      </c>
      <c r="AM45" s="39">
        <f>VLOOKUP(AB45,db_fifarank,2,0)/2000000</f>
        <v>0.00031050000000000001</v>
      </c>
      <c r="AN45" s="41">
        <f>1000*AK45/AK48+100*AJ45+10*AF45/AF48+1*AL45/AL48+AM45</f>
        <v>2.5003104999999999</v>
      </c>
      <c r="AO45" s="41" t="str">
        <f>IF(SUM(AC44:AE47)=12,J46,INDEX(T,83,lang))</f>
        <v>Inglaterra</v>
      </c>
      <c r="AP45" s="39">
        <f>SUMPRODUCT(($S$7:$S$54=AB45&amp;"_win")*($U$7:$U$54))+SUMPRODUCT(($T$7:$T$54=AB45&amp;"_win")*($U$7:$U$54))</f>
        <v>0</v>
      </c>
      <c r="AQ45" s="39">
        <f>SUMPRODUCT(($S$7:$S$54=AB45&amp;"_draw")*($U$7:$U$54))+SUMPRODUCT(($T$7:$T$54=AB45&amp;"_draw")*($U$7:$U$54))</f>
        <v>0</v>
      </c>
      <c r="AR45" s="39">
        <f>SUMPRODUCT(($E$7:$E$54=AB45)*($U$7:$U$54)*($F$7:$F$54))+SUMPRODUCT(($H$7:$H$54=AB45)*($U$7:$U$54)*($G$7:$G$54))</f>
        <v>0</v>
      </c>
      <c r="AS45" s="39">
        <f>SUMPRODUCT(($E$7:$E$54=AB45)*($U$7:$U$54)*($G$7:$G$54))+SUMPRODUCT(($H$7:$H$54=AB45)*($U$7:$U$54)*($F$7:$F$54))</f>
        <v>0</v>
      </c>
      <c r="AT45" s="39">
        <f>AR45-AS45</f>
        <v>0</v>
      </c>
    </row>
    <row ht="15" customHeight="1" r="46">
      <c r="A46" s="56">
        <v>40</v>
      </c>
      <c r="B46" s="57" t="str">
        <f>INDEX(T,18+INT(MOD(R46-1,7)),lang)</f>
        <v>Tue</v>
      </c>
      <c r="C46" s="58" t="str">
        <f>INDEX(T,24+MONTH(R46),lang) &amp; " " &amp; DAY(R46) &amp; ", " &amp; YEAR(R46)</f>
        <v xml:space="preserve">Jun 26, 2018</v>
      </c>
      <c r="D46" s="59">
        <f>TIME(HOUR(R46),MINUTE(R46),0)</f>
        <v>0.58333333333333304</v>
      </c>
      <c r="E46" s="60" t="str">
        <f>AB27</f>
        <v>Islandia</v>
      </c>
      <c r="F46" s="61">
        <v>1</v>
      </c>
      <c r="G46" s="62">
        <v>1</v>
      </c>
      <c r="H46" s="63" t="str">
        <f>AB28</f>
        <v>Croacia</v>
      </c>
      <c r="J46" s="72" t="str">
        <f>VLOOKUP(2,AA44:AK47,2,0)</f>
        <v>Inglaterra</v>
      </c>
      <c r="K46" s="73">
        <f>L46+M46+N46</f>
        <v>3</v>
      </c>
      <c r="L46" s="73">
        <f>VLOOKUP(2,AA44:AK47,3,0)</f>
        <v>2</v>
      </c>
      <c r="M46" s="73">
        <f>VLOOKUP(2,AA44:AK47,4,0)</f>
        <v>0</v>
      </c>
      <c r="N46" s="73">
        <f>VLOOKUP(2,AA44:AK47,5,0)</f>
        <v>1</v>
      </c>
      <c r="O46" s="73" t="str">
        <f>VLOOKUP(2,AA44:AK47,6,0) &amp; " - " &amp; VLOOKUP(2,AA44:AK47,7,0)</f>
        <v xml:space="preserve">8 - 3</v>
      </c>
      <c r="P46" s="74">
        <f>L46*3+M46</f>
        <v>6</v>
      </c>
      <c r="R46" s="39">
        <f>DATE(2018,6,26)+TIME(7,0,0)+gmt_delta</f>
        <v>43277.583333333299</v>
      </c>
      <c r="S46" s="40" t="str">
        <f>IF(OR(F46="",G46=""),"",IF(F46&gt;G46,E46&amp;"_win",IF(F46&lt;G46,E46&amp;"_lose",E46&amp;"_draw")))</f>
        <v>Islandia_draw</v>
      </c>
      <c r="T46" s="40" t="str">
        <f>IF(S46="","",IF(F46&lt;G46,H46&amp;"_win",IF(F46&gt;G46,H46&amp;"_lose",H46&amp;"_draw")))</f>
        <v>Croacia_draw</v>
      </c>
      <c r="U46" s="41">
        <f>IF(S46="",0,IF(VLOOKUP(E46,$AB$8:$AK$53,7,0)=VLOOKUP(H46,$AB$8:$AK$53,7,0),1,0))</f>
        <v>0</v>
      </c>
      <c r="V46" s="39">
        <f>U46*F46</f>
        <v>0</v>
      </c>
      <c r="W46" s="39">
        <f>U46*G46</f>
        <v>0</v>
      </c>
      <c r="X46" s="39">
        <f>IF(OR(E46=my_team,H46=my_team),1,0)</f>
        <v>0</v>
      </c>
      <c r="Y46" s="39">
        <f>IF(OR(F46="",G46=""),"",IF(F46&gt;G46,1,IF(F46&lt;G46,-1,0)))</f>
        <v>0</v>
      </c>
      <c r="AA46" s="39">
        <f>COUNTIF(AN44:AN47,CONCATENATE("&gt;=",AN46))</f>
        <v>3</v>
      </c>
      <c r="AB46" s="41" t="str">
        <f>VLOOKUP("Tunisia",T,lang,0)</f>
        <v>Túnez</v>
      </c>
      <c r="AC46" s="39">
        <f>COUNTIF($S$7:$T$54,"=" &amp; AB46 &amp; "_win")</f>
        <v>1</v>
      </c>
      <c r="AD46" s="39">
        <f>COUNTIF($S$7:$T$54,"=" &amp; AB46 &amp; "_draw")</f>
        <v>0</v>
      </c>
      <c r="AE46" s="39">
        <f>COUNTIF($S$7:$T$54,"=" &amp; AB46 &amp; "_lose")</f>
        <v>2</v>
      </c>
      <c r="AF46" s="39">
        <f>SUMIF($E$7:$E$54,$AB46,$F$7:$F$54) + SUMIF($H$7:$H$54,$AB46,$G$7:$G$54)</f>
        <v>5</v>
      </c>
      <c r="AG46" s="39">
        <f>SUMIF($E$7:$E$54,$AB46,$G$7:$G$54) + SUMIF($H$7:$H$54,$AB46,$F$7:$F$54)</f>
        <v>8</v>
      </c>
      <c r="AH46" s="39">
        <f>(AF46-AG46)*100+AK46*10000+AF46</f>
        <v>29705</v>
      </c>
      <c r="AI46" s="39">
        <f>AF46-AG46</f>
        <v>-3</v>
      </c>
      <c r="AJ46" s="39">
        <f>(AI46-AI49)/AI48</f>
        <v>0.35294117647058798</v>
      </c>
      <c r="AK46" s="39">
        <f>AC46*3+AD46</f>
        <v>3</v>
      </c>
      <c r="AL46" s="39">
        <f>AP46/AP48*1000+AQ46/AQ48*100+AT46/AT48*10+AR46/AR48</f>
        <v>0</v>
      </c>
      <c r="AM46" s="39">
        <f>VLOOKUP(AB46,db_fifarank,2,0)/2000000</f>
        <v>0.00041899999999999999</v>
      </c>
      <c r="AN46" s="41">
        <f>1000*AK46/AK48+100*AJ46+10*AF46/AF48+1*AL46/AL48+AM46</f>
        <v>341.54453664705898</v>
      </c>
      <c r="AP46" s="39">
        <f>SUMPRODUCT(($S$7:$S$54=AB46&amp;"_win")*($U$7:$U$54))+SUMPRODUCT(($T$7:$T$54=AB46&amp;"_win")*($U$7:$U$54))</f>
        <v>0</v>
      </c>
      <c r="AQ46" s="39">
        <f>SUMPRODUCT(($S$7:$S$54=AB46&amp;"_draw")*($U$7:$U$54))+SUMPRODUCT(($T$7:$T$54=AB46&amp;"_draw")*($U$7:$U$54))</f>
        <v>0</v>
      </c>
      <c r="AR46" s="39">
        <f>SUMPRODUCT(($E$7:$E$54=AB46)*($U$7:$U$54)*($F$7:$F$54))+SUMPRODUCT(($H$7:$H$54=AB46)*($U$7:$U$54)*($G$7:$G$54))</f>
        <v>0</v>
      </c>
      <c r="AS46" s="39">
        <f>SUMPRODUCT(($E$7:$E$54=AB46)*($U$7:$U$54)*($G$7:$G$54))+SUMPRODUCT(($H$7:$H$54=AB46)*($U$7:$U$54)*($F$7:$F$54))</f>
        <v>0</v>
      </c>
      <c r="AT46" s="39">
        <f>AR46-AS46</f>
        <v>0</v>
      </c>
      <c r="AY46" s="97" t="s">
        <v>2673</v>
      </c>
      <c r="AZ46" s="97"/>
      <c r="BA46" s="97"/>
      <c r="BB46" s="97"/>
    </row>
    <row ht="15" customHeight="1" r="47">
      <c r="A47" s="56">
        <v>41</v>
      </c>
      <c r="B47" s="57" t="str">
        <f>INDEX(T,18+INT(MOD(R47-1,7)),lang)</f>
        <v>Wed</v>
      </c>
      <c r="C47" s="58" t="str">
        <f>INDEX(T,24+MONTH(R47),lang) &amp; " " &amp; DAY(R47) &amp; ", " &amp; YEAR(R47)</f>
        <v xml:space="preserve">Jun 27, 2018</v>
      </c>
      <c r="D47" s="59">
        <f>TIME(HOUR(R47),MINUTE(R47),0)</f>
        <v>0.58333333333333304</v>
      </c>
      <c r="E47" s="60" t="str">
        <f>AB35</f>
        <v>Serbia</v>
      </c>
      <c r="F47" s="61">
        <v>0</v>
      </c>
      <c r="G47" s="62">
        <v>2</v>
      </c>
      <c r="H47" s="63" t="str">
        <f>AB32</f>
        <v>Brasil</v>
      </c>
      <c r="J47" s="72" t="str">
        <f>VLOOKUP(3,AA44:AK47,2,0)</f>
        <v>Túnez</v>
      </c>
      <c r="K47" s="73">
        <f>L47+M47+N47</f>
        <v>3</v>
      </c>
      <c r="L47" s="73">
        <f>VLOOKUP(3,AA44:AK47,3,0)</f>
        <v>1</v>
      </c>
      <c r="M47" s="73">
        <f>VLOOKUP(3,AA44:AK47,4,0)</f>
        <v>0</v>
      </c>
      <c r="N47" s="73">
        <f>VLOOKUP(3,AA44:AK47,5,0)</f>
        <v>2</v>
      </c>
      <c r="O47" s="73" t="str">
        <f>VLOOKUP(3,AA44:AK47,6,0) &amp; " - " &amp; VLOOKUP(3,AA44:AK47,7,0)</f>
        <v xml:space="preserve">5 - 8</v>
      </c>
      <c r="P47" s="74">
        <f>L47*3+M47</f>
        <v>3</v>
      </c>
      <c r="R47" s="39">
        <f>DATE(2018,6,27)+TIME(7,0,0)+gmt_delta</f>
        <v>43278.583333333299</v>
      </c>
      <c r="S47" s="40" t="str">
        <f>IF(OR(F47="",G47=""),"",IF(F47&gt;G47,E47&amp;"_win",IF(F47&lt;G47,E47&amp;"_lose",E47&amp;"_draw")))</f>
        <v>Serbia_lose</v>
      </c>
      <c r="T47" s="40" t="str">
        <f>IF(S47="","",IF(F47&lt;G47,H47&amp;"_win",IF(F47&gt;G47,H47&amp;"_lose",H47&amp;"_draw")))</f>
        <v>Brasil_win</v>
      </c>
      <c r="U47" s="41">
        <f>IF(S47="",0,IF(VLOOKUP(E47,$AB$8:$AK$53,7,0)=VLOOKUP(H47,$AB$8:$AK$53,7,0),1,0))</f>
        <v>0</v>
      </c>
      <c r="V47" s="39">
        <f>U47*F47</f>
        <v>0</v>
      </c>
      <c r="W47" s="39">
        <f>U47*G47</f>
        <v>0</v>
      </c>
      <c r="X47" s="39">
        <f>IF(OR(E47=my_team,H47=my_team),1,0)</f>
        <v>0</v>
      </c>
      <c r="Y47" s="39">
        <f>IF(OR(F47="",G47=""),"",IF(F47&gt;G47,1,IF(F47&lt;G47,-1,0)))</f>
        <v>-1</v>
      </c>
      <c r="AA47" s="39">
        <f>COUNTIF(AN44:AN47,CONCATENATE("&gt;=",AN47))</f>
        <v>2</v>
      </c>
      <c r="AB47" s="41" t="str">
        <f>VLOOKUP("England",T,lang,0)</f>
        <v>Inglaterra</v>
      </c>
      <c r="AC47" s="39">
        <f>COUNTIF($S$7:$T$54,"=" &amp; AB47 &amp; "_win")</f>
        <v>2</v>
      </c>
      <c r="AD47" s="39">
        <f>COUNTIF($S$7:$T$54,"=" &amp; AB47 &amp; "_draw")</f>
        <v>0</v>
      </c>
      <c r="AE47" s="39">
        <f>COUNTIF($S$7:$T$54,"=" &amp; AB47 &amp; "_lose")</f>
        <v>1</v>
      </c>
      <c r="AF47" s="39">
        <f>SUMIF($E$7:$E$54,$AB47,$F$7:$F$54) + SUMIF($H$7:$H$54,$AB47,$G$7:$G$54)</f>
        <v>8</v>
      </c>
      <c r="AG47" s="39">
        <f>SUMIF($E$7:$E$54,$AB47,$G$7:$G$54) + SUMIF($H$7:$H$54,$AB47,$F$7:$F$54)</f>
        <v>3</v>
      </c>
      <c r="AH47" s="39">
        <f>(AF47-AG47)*100+AK47*10000+AF47</f>
        <v>60508</v>
      </c>
      <c r="AI47" s="39">
        <f>AF47-AG47</f>
        <v>5</v>
      </c>
      <c r="AJ47" s="39">
        <f>(AI47-AI49)/AI48</f>
        <v>0.82352941176470595</v>
      </c>
      <c r="AK47" s="39">
        <f>AC47*3+AD47</f>
        <v>6</v>
      </c>
      <c r="AL47" s="39">
        <f>AP47/AP48*1000+AQ47/AQ48*100+AT47/AT48*10+AR47/AR48</f>
        <v>0</v>
      </c>
      <c r="AM47" s="39">
        <f>VLOOKUP(AB47,db_fifarank,2,0)/2000000</f>
        <v>0.00052349999999999999</v>
      </c>
      <c r="AN47" s="41">
        <f>1000*AK47/AK48+100*AJ47+10*AF47/AF48+1*AL47/AL48+AM47</f>
        <v>692.35346467647105</v>
      </c>
      <c r="AP47" s="39">
        <f>SUMPRODUCT(($S$7:$S$54=AB47&amp;"_win")*($U$7:$U$54))+SUMPRODUCT(($T$7:$T$54=AB47&amp;"_win")*($U$7:$U$54))</f>
        <v>0</v>
      </c>
      <c r="AQ47" s="39">
        <f>SUMPRODUCT(($S$7:$S$54=AB47&amp;"_draw")*($U$7:$U$54))+SUMPRODUCT(($T$7:$T$54=AB47&amp;"_draw")*($U$7:$U$54))</f>
        <v>0</v>
      </c>
      <c r="AR47" s="39">
        <f>SUMPRODUCT(($E$7:$E$54=AB47)*($U$7:$U$54)*($F$7:$F$54))+SUMPRODUCT(($H$7:$H$54=AB47)*($U$7:$U$54)*($G$7:$G$54))</f>
        <v>0</v>
      </c>
      <c r="AS47" s="39">
        <f>SUMPRODUCT(($E$7:$E$54=AB47)*($U$7:$U$54)*($G$7:$G$54))+SUMPRODUCT(($H$7:$H$54=AB47)*($U$7:$U$54)*($F$7:$F$54))</f>
        <v>0</v>
      </c>
      <c r="AT47" s="39">
        <f>AR47-AS47</f>
        <v>0</v>
      </c>
      <c r="AY47" s="97"/>
      <c r="AZ47" s="97"/>
      <c r="BA47" s="97"/>
      <c r="BB47" s="97"/>
    </row>
    <row ht="15" customHeight="1" r="48">
      <c r="A48" s="56">
        <v>42</v>
      </c>
      <c r="B48" s="57" t="str">
        <f>INDEX(T,18+INT(MOD(R48-1,7)),lang)</f>
        <v>Wed</v>
      </c>
      <c r="C48" s="58" t="str">
        <f>INDEX(T,24+MONTH(R48),lang) &amp; " " &amp; DAY(R48) &amp; ", " &amp; YEAR(R48)</f>
        <v xml:space="preserve">Jun 27, 2018</v>
      </c>
      <c r="D48" s="59">
        <f>TIME(HOUR(R48),MINUTE(R48),0)</f>
        <v>0.58333333333333304</v>
      </c>
      <c r="E48" s="60" t="str">
        <f>AB33</f>
        <v>Suiza</v>
      </c>
      <c r="F48" s="61">
        <v>1</v>
      </c>
      <c r="G48" s="62">
        <v>1</v>
      </c>
      <c r="H48" s="63" t="str">
        <f>AB34</f>
        <v xml:space="preserve">Costa Rica</v>
      </c>
      <c r="J48" s="84" t="str">
        <f>VLOOKUP(4,AA44:AK47,2,0)</f>
        <v>Panamá</v>
      </c>
      <c r="K48" s="85">
        <f>L48+M48+N48</f>
        <v>3</v>
      </c>
      <c r="L48" s="85">
        <f>VLOOKUP(4,AA44:AK47,3,0)</f>
        <v>0</v>
      </c>
      <c r="M48" s="85">
        <f>VLOOKUP(4,AA44:AK47,4,0)</f>
        <v>0</v>
      </c>
      <c r="N48" s="85">
        <f>VLOOKUP(4,AA44:AK47,5,0)</f>
        <v>3</v>
      </c>
      <c r="O48" s="85" t="str">
        <f>VLOOKUP(4,AA44:AK47,6,0) &amp; " - " &amp; VLOOKUP(4,AA44:AK47,7,0)</f>
        <v xml:space="preserve">2 - 11</v>
      </c>
      <c r="P48" s="86">
        <f>L48*3+M48</f>
        <v>0</v>
      </c>
      <c r="R48" s="39">
        <f>DATE(2018,6,27)+TIME(7,0,0)+gmt_delta</f>
        <v>43278.583333333299</v>
      </c>
      <c r="S48" s="40" t="str">
        <f>IF(OR(F48="",G48=""),"",IF(F48&gt;G48,E48&amp;"_win",IF(F48&lt;G48,E48&amp;"_lose",E48&amp;"_draw")))</f>
        <v>Suiza_draw</v>
      </c>
      <c r="T48" s="40" t="str">
        <f>IF(S48="","",IF(F48&lt;G48,H48&amp;"_win",IF(F48&gt;G48,H48&amp;"_lose",H48&amp;"_draw")))</f>
        <v xml:space="preserve">Costa Rica_draw</v>
      </c>
      <c r="U48" s="41">
        <f>IF(S48="",0,IF(VLOOKUP(E48,$AB$8:$AK$53,7,0)=VLOOKUP(H48,$AB$8:$AK$53,7,0),1,0))</f>
        <v>0</v>
      </c>
      <c r="V48" s="39">
        <f>U48*F48</f>
        <v>0</v>
      </c>
      <c r="W48" s="39">
        <f>U48*G48</f>
        <v>0</v>
      </c>
      <c r="X48" s="39">
        <f>IF(OR(E48=my_team,H48=my_team),1,0)</f>
        <v>0</v>
      </c>
      <c r="Y48" s="39">
        <f>IF(OR(F48="",G48=""),"",IF(F48&gt;G48,1,IF(F48&lt;G48,-1,0)))</f>
        <v>0</v>
      </c>
      <c r="AC48" s="39">
        <f>MAX(AC44:AC47)-MIN(AC44:AC47)+1</f>
        <v>4</v>
      </c>
      <c r="AD48" s="39">
        <f>MAX(AD44:AD47)-MIN(AD44:AD47)+1</f>
        <v>1</v>
      </c>
      <c r="AE48" s="39">
        <f>MAX(AE44:AE47)-MIN(AE44:AE47)+1</f>
        <v>4</v>
      </c>
      <c r="AF48" s="39">
        <f>MAX(AF44:AF47)-MIN(AF44:AF47)+1</f>
        <v>8</v>
      </c>
      <c r="AG48" s="39">
        <f>MAX(AG44:AG47)-MIN(AG44:AG47)+1</f>
        <v>10</v>
      </c>
      <c r="AH48" s="39">
        <f>MAX(AH44:AH47)-AH49+1</f>
        <v>91608</v>
      </c>
      <c r="AI48" s="39">
        <f>MAX(AI44:AI47)-AI49+1</f>
        <v>17</v>
      </c>
      <c r="AK48" s="39">
        <f>MAX(AK44:AK47)-MIN(AK44:AK47)+1</f>
        <v>10</v>
      </c>
      <c r="AL48" s="39">
        <f>MAX(AL44:AL47)-MIN(AL44:AL47)+1</f>
        <v>1</v>
      </c>
      <c r="AP48" s="39">
        <f>MAX(AP44:AP47)-MIN(AP44:AP47)+1</f>
        <v>1</v>
      </c>
      <c r="AQ48" s="39">
        <f>MAX(AQ44:AQ47)-MIN(AQ44:AQ47)+1</f>
        <v>1</v>
      </c>
      <c r="AR48" s="39">
        <f>MAX(AR44:AR47)-MIN(AR44:AR47)+1</f>
        <v>1</v>
      </c>
      <c r="AS48" s="39">
        <f>MAX(AS44:AS47)-MIN(AS44:AS47)+1</f>
        <v>1</v>
      </c>
      <c r="AT48" s="39">
        <f>MAX(AT44:AT47)-MIN(AT44:AT47)+1</f>
        <v>1</v>
      </c>
      <c r="AY48" s="97"/>
      <c r="AZ48" s="97"/>
      <c r="BA48" s="97"/>
      <c r="BB48" s="97"/>
    </row>
    <row ht="15" customHeight="1" r="49">
      <c r="A49" s="56">
        <v>43</v>
      </c>
      <c r="B49" s="57" t="str">
        <f>INDEX(T,18+INT(MOD(R49-1,7)),lang)</f>
        <v>Wed</v>
      </c>
      <c r="C49" s="58" t="str">
        <f>INDEX(T,24+MONTH(R49),lang) &amp; " " &amp; DAY(R49) &amp; ", " &amp; YEAR(R49)</f>
        <v xml:space="preserve">Jun 27, 2018</v>
      </c>
      <c r="D49" s="59">
        <f>TIME(HOUR(R49),MINUTE(R49),0)</f>
        <v>0.41666666666666702</v>
      </c>
      <c r="E49" s="60" t="str">
        <f>AB41</f>
        <v xml:space="preserve">República de Corea</v>
      </c>
      <c r="F49" s="61">
        <v>2</v>
      </c>
      <c r="G49" s="62">
        <v>0</v>
      </c>
      <c r="H49" s="63" t="str">
        <f>AB38</f>
        <v>Alemania</v>
      </c>
      <c r="R49" s="39">
        <f>DATE(2018,6,27)+TIME(3,0,0)+gmt_delta</f>
        <v>43278.416666666701</v>
      </c>
      <c r="S49" s="40" t="str">
        <f>IF(OR(F49="",G49=""),"",IF(F49&gt;G49,E49&amp;"_win",IF(F49&lt;G49,E49&amp;"_lose",E49&amp;"_draw")))</f>
        <v xml:space="preserve">República de Corea_win</v>
      </c>
      <c r="T49" s="40" t="str">
        <f>IF(S49="","",IF(F49&lt;G49,H49&amp;"_win",IF(F49&gt;G49,H49&amp;"_lose",H49&amp;"_draw")))</f>
        <v>Alemania_lose</v>
      </c>
      <c r="U49" s="41">
        <f>IF(S49="",0,IF(VLOOKUP(E49,$AB$8:$AK$53,7,0)=VLOOKUP(H49,$AB$8:$AK$53,7,0),1,0))</f>
        <v>0</v>
      </c>
      <c r="V49" s="39">
        <f>U49*F49</f>
        <v>0</v>
      </c>
      <c r="W49" s="39">
        <f>U49*G49</f>
        <v>0</v>
      </c>
      <c r="X49" s="39">
        <f>IF(OR(E49=my_team,H49=my_team),1,0)</f>
        <v>1</v>
      </c>
      <c r="Y49" s="39">
        <f>IF(OR(F49="",G49=""),"",IF(F49&gt;G49,1,IF(F49&lt;G49,-1,0)))</f>
        <v>1</v>
      </c>
      <c r="AH49" s="39">
        <f>MIN(AH44:AH47)</f>
        <v>-898</v>
      </c>
      <c r="AI49" s="39">
        <f>MIN(AI44:AI47)</f>
        <v>-9</v>
      </c>
      <c r="AY49" s="97"/>
      <c r="AZ49" s="97"/>
      <c r="BA49" s="97"/>
      <c r="BB49" s="97"/>
    </row>
    <row ht="15" customHeight="1" r="50">
      <c r="A50" s="56">
        <v>44</v>
      </c>
      <c r="B50" s="57" t="str">
        <f>INDEX(T,18+INT(MOD(R50-1,7)),lang)</f>
        <v>Wed</v>
      </c>
      <c r="C50" s="58" t="str">
        <f>INDEX(T,24+MONTH(R50),lang) &amp; " " &amp; DAY(R50) &amp; ", " &amp; YEAR(R50)</f>
        <v xml:space="preserve">Jun 27, 2018</v>
      </c>
      <c r="D50" s="59">
        <f>TIME(HOUR(R50),MINUTE(R50),0)</f>
        <v>0.41666666666666702</v>
      </c>
      <c r="E50" s="60" t="str">
        <f>AB39</f>
        <v>México</v>
      </c>
      <c r="F50" s="61">
        <v>0</v>
      </c>
      <c r="G50" s="62">
        <v>3</v>
      </c>
      <c r="H50" s="63" t="str">
        <f>AB40</f>
        <v>Suecia</v>
      </c>
      <c r="J50" s="64" t="str">
        <f>INDEX(T,9,lang) &amp; " " &amp; "H"</f>
        <v xml:space="preserve">Grupo H</v>
      </c>
      <c r="K50" s="65" t="str">
        <f>INDEX(T,10,lang)</f>
        <v>J</v>
      </c>
      <c r="L50" s="65" t="str">
        <f>INDEX(T,11,lang)</f>
        <v>G</v>
      </c>
      <c r="M50" s="65" t="str">
        <f>INDEX(T,12,lang)</f>
        <v>DRAW</v>
      </c>
      <c r="N50" s="65" t="str">
        <f>INDEX(T,13,lang)</f>
        <v>P</v>
      </c>
      <c r="O50" s="65" t="str">
        <f>INDEX(T,14,lang)</f>
        <v xml:space="preserve">GF - GC</v>
      </c>
      <c r="P50" s="66" t="str">
        <f>INDEX(T,15,lang)</f>
        <v>PTS</v>
      </c>
      <c r="R50" s="39">
        <f>DATE(2018,6,27)+TIME(3,0,0)+gmt_delta</f>
        <v>43278.416666666701</v>
      </c>
      <c r="S50" s="40" t="str">
        <f>IF(OR(F50="",G50=""),"",IF(F50&gt;G50,E50&amp;"_win",IF(F50&lt;G50,E50&amp;"_lose",E50&amp;"_draw")))</f>
        <v>México_lose</v>
      </c>
      <c r="T50" s="40" t="str">
        <f>IF(S50="","",IF(F50&lt;G50,H50&amp;"_win",IF(F50&gt;G50,H50&amp;"_lose",H50&amp;"_draw")))</f>
        <v>Suecia_win</v>
      </c>
      <c r="U50" s="41">
        <f>IF(S50="",0,IF(VLOOKUP(E50,$AB$8:$AK$53,7,0)=VLOOKUP(H50,$AB$8:$AK$53,7,0),1,0))</f>
        <v>0</v>
      </c>
      <c r="V50" s="39">
        <f>U50*F50</f>
        <v>0</v>
      </c>
      <c r="W50" s="39">
        <f>U50*G50</f>
        <v>0</v>
      </c>
      <c r="X50" s="39">
        <f>IF(OR(E50=my_team,H50=my_team),1,0)</f>
        <v>0</v>
      </c>
      <c r="Y50" s="39">
        <f>IF(OR(F50="",G50=""),"",IF(F50&gt;G50,1,IF(F50&lt;G50,-1,0)))</f>
        <v>-1</v>
      </c>
      <c r="AA50" s="39">
        <f>COUNTIF(AN50:AN53,CONCATENATE("&gt;=",AN50))</f>
        <v>4</v>
      </c>
      <c r="AB50" s="41" t="str">
        <f>VLOOKUP("Poland",T,lang,0)</f>
        <v>Polonia</v>
      </c>
      <c r="AC50" s="39">
        <f>COUNTIF($S$7:$T$54,"=" &amp; AB50 &amp; "_win")</f>
        <v>0</v>
      </c>
      <c r="AD50" s="39">
        <f>COUNTIF($S$7:$T$54,"=" &amp; AB50 &amp; "_draw")</f>
        <v>1</v>
      </c>
      <c r="AE50" s="39">
        <f>COUNTIF($S$7:$T$54,"=" &amp; AB50 &amp; "_lose")</f>
        <v>2</v>
      </c>
      <c r="AF50" s="39">
        <f>SUMIF($E$7:$E$54,$AB50,$F$7:$F$54) + SUMIF($H$7:$H$54,$AB50,$G$7:$G$54)</f>
        <v>2</v>
      </c>
      <c r="AG50" s="39">
        <f>SUMIF($E$7:$E$54,$AB50,$G$7:$G$54) + SUMIF($H$7:$H$54,$AB50,$F$7:$F$54)</f>
        <v>6</v>
      </c>
      <c r="AH50" s="39">
        <f>(AF50-AG50)*100+AK50*10000+AF50</f>
        <v>9602</v>
      </c>
      <c r="AI50" s="39">
        <f>AF50-AG50</f>
        <v>-4</v>
      </c>
      <c r="AJ50" s="39">
        <f>(AI50-AI55)/AI54</f>
        <v>0</v>
      </c>
      <c r="AK50" s="39">
        <f>AC50*3+AD50</f>
        <v>1</v>
      </c>
      <c r="AL50" s="39">
        <f>AP50/AP54*1000+AQ50/AQ54*100+AT50/AT54*10+AR50/AR54</f>
        <v>0</v>
      </c>
      <c r="AM50" s="39">
        <f>VLOOKUP(AB50,db_fifarank,2,0)/2000000</f>
        <v>0.0006045</v>
      </c>
      <c r="AN50" s="41">
        <f>1000*AK50/AK54+100*AJ50+10*AF50/AF54+1*AL50/AL54+AM50</f>
        <v>171.66727116666701</v>
      </c>
      <c r="AO50" s="41" t="str">
        <f>IF(SUM(AC50:AE53)=12,J51,INDEX(T,84,lang))</f>
        <v>Colombia</v>
      </c>
      <c r="AP50" s="39">
        <f>SUMPRODUCT(($S$7:$S$54=AB50&amp;"_win")*($U$7:$U$54))+SUMPRODUCT(($T$7:$T$54=AB50&amp;"_win")*($U$7:$U$54))</f>
        <v>0</v>
      </c>
      <c r="AQ50" s="39">
        <f>SUMPRODUCT(($S$7:$S$54=AB50&amp;"_draw")*($U$7:$U$54))+SUMPRODUCT(($T$7:$T$54=AB50&amp;"_draw")*($U$7:$U$54))</f>
        <v>0</v>
      </c>
      <c r="AR50" s="39">
        <f>SUMPRODUCT(($E$7:$E$54=AB50)*($U$7:$U$54)*($F$7:$F$54))+SUMPRODUCT(($H$7:$H$54=AB50)*($U$7:$U$54)*($G$7:$G$54))</f>
        <v>0</v>
      </c>
      <c r="AS50" s="39">
        <f>SUMPRODUCT(($E$7:$E$54=AB50)*($U$7:$U$54)*($G$7:$G$54))+SUMPRODUCT(($H$7:$H$54=AB50)*($U$7:$U$54)*($F$7:$F$54))</f>
        <v>0</v>
      </c>
      <c r="AT50" s="39">
        <f>AR50-AS50</f>
        <v>0</v>
      </c>
      <c r="AY50" s="97"/>
      <c r="AZ50" s="97"/>
      <c r="BA50" s="97"/>
      <c r="BB50" s="97"/>
    </row>
    <row ht="15" customHeight="1" r="51">
      <c r="A51" s="56">
        <v>45</v>
      </c>
      <c r="B51" s="57" t="str">
        <f>INDEX(T,18+INT(MOD(R51-1,7)),lang)</f>
        <v>Thu</v>
      </c>
      <c r="C51" s="58" t="str">
        <f>INDEX(T,24+MONTH(R51),lang) &amp; " " &amp; DAY(R51) &amp; ", " &amp; YEAR(R51)</f>
        <v xml:space="preserve">Jun 28, 2018</v>
      </c>
      <c r="D51" s="59">
        <f>TIME(HOUR(R51),MINUTE(R51),0)</f>
        <v>0.58333333333333304</v>
      </c>
      <c r="E51" s="60" t="str">
        <f>AB47</f>
        <v>Inglaterra</v>
      </c>
      <c r="F51" s="61">
        <v>0</v>
      </c>
      <c r="G51" s="62">
        <v>1</v>
      </c>
      <c r="H51" s="63" t="str">
        <f>AB44</f>
        <v>Bélgica</v>
      </c>
      <c r="J51" s="68" t="str">
        <f>VLOOKUP(1,AA50:AK53,2,0)</f>
        <v>Colombia</v>
      </c>
      <c r="K51" s="69">
        <f>L51+M51+N51</f>
        <v>3</v>
      </c>
      <c r="L51" s="69">
        <f>VLOOKUP(1,AA50:AK53,3,0)</f>
        <v>2</v>
      </c>
      <c r="M51" s="69">
        <f>VLOOKUP(1,AA50:AK53,4,0)</f>
        <v>0</v>
      </c>
      <c r="N51" s="69">
        <f>VLOOKUP(1,AA50:AK53,5,0)</f>
        <v>1</v>
      </c>
      <c r="O51" s="69" t="str">
        <f>VLOOKUP(1,AA50:AK53,6,0) &amp; " - " &amp; VLOOKUP(1,AA50:AK53,7,0)</f>
        <v xml:space="preserve">5 - 2</v>
      </c>
      <c r="P51" s="70">
        <f>L51*3+M51</f>
        <v>6</v>
      </c>
      <c r="R51" s="39">
        <f>DATE(2018,6,28)+TIME(7,0,0)+gmt_delta</f>
        <v>43279.583333333299</v>
      </c>
      <c r="S51" s="40" t="str">
        <f>IF(OR(F51="",G51=""),"",IF(F51&gt;G51,E51&amp;"_win",IF(F51&lt;G51,E51&amp;"_lose",E51&amp;"_draw")))</f>
        <v>Inglaterra_lose</v>
      </c>
      <c r="T51" s="40" t="str">
        <f>IF(S51="","",IF(F51&lt;G51,H51&amp;"_win",IF(F51&gt;G51,H51&amp;"_lose",H51&amp;"_draw")))</f>
        <v>Bélgica_win</v>
      </c>
      <c r="U51" s="41">
        <f>IF(S51="",0,IF(VLOOKUP(E51,$AB$8:$AK$53,7,0)=VLOOKUP(H51,$AB$8:$AK$53,7,0),1,0))</f>
        <v>0</v>
      </c>
      <c r="V51" s="39">
        <f>U51*F51</f>
        <v>0</v>
      </c>
      <c r="W51" s="39">
        <f>U51*G51</f>
        <v>0</v>
      </c>
      <c r="X51" s="39">
        <f>IF(OR(E51=my_team,H51=my_team),1,0)</f>
        <v>0</v>
      </c>
      <c r="Y51" s="39">
        <f>IF(OR(F51="",G51=""),"",IF(F51&gt;G51,1,IF(F51&lt;G51,-1,0)))</f>
        <v>-1</v>
      </c>
      <c r="AA51" s="39">
        <f>COUNTIF(AN50:AN53,CONCATENATE("&gt;=",AN51))</f>
        <v>3</v>
      </c>
      <c r="AB51" s="41" t="str">
        <f>VLOOKUP("Senegal",T,lang,0)</f>
        <v>Senegal</v>
      </c>
      <c r="AC51" s="39">
        <f>COUNTIF($S$7:$T$54,"=" &amp; AB51 &amp; "_win")</f>
        <v>1</v>
      </c>
      <c r="AD51" s="39">
        <f>COUNTIF($S$7:$T$54,"=" &amp; AB51 &amp; "_draw")</f>
        <v>1</v>
      </c>
      <c r="AE51" s="39">
        <f>COUNTIF($S$7:$T$54,"=" &amp; AB51 &amp; "_lose")</f>
        <v>1</v>
      </c>
      <c r="AF51" s="39">
        <f>SUMIF($E$7:$E$54,$AB51,$F$7:$F$54) + SUMIF($H$7:$H$54,$AB51,$G$7:$G$54)</f>
        <v>4</v>
      </c>
      <c r="AG51" s="39">
        <f>SUMIF($E$7:$E$54,$AB51,$G$7:$G$54) + SUMIF($H$7:$H$54,$AB51,$F$7:$F$54)</f>
        <v>4</v>
      </c>
      <c r="AH51" s="39">
        <f>(AF51-AG51)*100+AK51*10000+AF51</f>
        <v>40004</v>
      </c>
      <c r="AI51" s="39">
        <f>AF51-AG51</f>
        <v>0</v>
      </c>
      <c r="AJ51" s="39">
        <f>(AI51-AI55)/AI54</f>
        <v>0.5</v>
      </c>
      <c r="AK51" s="39">
        <f>AC51*3+AD51</f>
        <v>4</v>
      </c>
      <c r="AL51" s="39">
        <f>AP51/AP54*1000+AQ51/AQ54*100+AT51/AT54*10+AR51/AR54</f>
        <v>0</v>
      </c>
      <c r="AM51" s="39">
        <f>VLOOKUP(AB51,db_fifarank,2,0)/2000000</f>
        <v>0.00044200000000000001</v>
      </c>
      <c r="AN51" s="41">
        <f>1000*AK51/AK54+100*AJ51+10*AF51/AF54+1*AL51/AL54+AM51</f>
        <v>726.66710866666699</v>
      </c>
      <c r="AO51" s="41" t="str">
        <f>IF(SUM(AC50:AE53)=12,J52,INDEX(T,85,lang))</f>
        <v>Japón</v>
      </c>
      <c r="AP51" s="39">
        <f>SUMPRODUCT(($S$7:$S$54=AB51&amp;"_win")*($U$7:$U$54))+SUMPRODUCT(($T$7:$T$54=AB51&amp;"_win")*($U$7:$U$54))</f>
        <v>0</v>
      </c>
      <c r="AQ51" s="39">
        <f>SUMPRODUCT(($S$7:$S$54=AB51&amp;"_draw")*($U$7:$U$54))+SUMPRODUCT(($T$7:$T$54=AB51&amp;"_draw")*($U$7:$U$54))</f>
        <v>0</v>
      </c>
      <c r="AR51" s="39">
        <f>SUMPRODUCT(($E$7:$E$54=AB51)*($U$7:$U$54)*($F$7:$F$54))+SUMPRODUCT(($H$7:$H$54=AB51)*($U$7:$U$54)*($G$7:$G$54))</f>
        <v>0</v>
      </c>
      <c r="AS51" s="39">
        <f>SUMPRODUCT(($E$7:$E$54=AB51)*($U$7:$U$54)*($G$7:$G$54))+SUMPRODUCT(($H$7:$H$54=AB51)*($U$7:$U$54)*($F$7:$F$54))</f>
        <v>0</v>
      </c>
      <c r="AT51" s="39">
        <f>AR51-AS51</f>
        <v>0</v>
      </c>
      <c r="AY51" s="97"/>
      <c r="AZ51" s="97"/>
      <c r="BA51" s="97"/>
      <c r="BB51" s="97"/>
    </row>
    <row ht="15" customHeight="1" r="52">
      <c r="A52" s="56">
        <v>46</v>
      </c>
      <c r="B52" s="57" t="str">
        <f>INDEX(T,18+INT(MOD(R52-1,7)),lang)</f>
        <v>Thu</v>
      </c>
      <c r="C52" s="58" t="str">
        <f>INDEX(T,24+MONTH(R52),lang) &amp; " " &amp; DAY(R52) &amp; ", " &amp; YEAR(R52)</f>
        <v xml:space="preserve">Jun 28, 2018</v>
      </c>
      <c r="D52" s="59">
        <f>TIME(HOUR(R52),MINUTE(R52),0)</f>
        <v>0.58333333333333304</v>
      </c>
      <c r="E52" s="60" t="str">
        <f>AB45</f>
        <v>Panamá</v>
      </c>
      <c r="F52" s="61">
        <v>1</v>
      </c>
      <c r="G52" s="62">
        <v>2</v>
      </c>
      <c r="H52" s="63" t="str">
        <f>AB46</f>
        <v>Túnez</v>
      </c>
      <c r="J52" s="72" t="str">
        <f>VLOOKUP(2,AA50:AK53,2,0)</f>
        <v>Japón</v>
      </c>
      <c r="K52" s="73">
        <f>L52+M52+N52</f>
        <v>3</v>
      </c>
      <c r="L52" s="73">
        <f>VLOOKUP(2,AA50:AK53,3,0)</f>
        <v>1</v>
      </c>
      <c r="M52" s="73">
        <f>VLOOKUP(2,AA50:AK53,4,0)</f>
        <v>2</v>
      </c>
      <c r="N52" s="73">
        <f>VLOOKUP(2,AA50:AK53,5,0)</f>
        <v>0</v>
      </c>
      <c r="O52" s="73" t="str">
        <f>VLOOKUP(2,AA50:AK53,6,0) &amp; " - " &amp; VLOOKUP(2,AA50:AK53,7,0)</f>
        <v xml:space="preserve">5 - 4</v>
      </c>
      <c r="P52" s="74">
        <f>L52*3+M52</f>
        <v>5</v>
      </c>
      <c r="R52" s="39">
        <f>DATE(2018,6,28)+TIME(7,0,0)+gmt_delta</f>
        <v>43279.583333333299</v>
      </c>
      <c r="S52" s="40" t="str">
        <f>IF(OR(F52="",G52=""),"",IF(F52&gt;G52,E52&amp;"_win",IF(F52&lt;G52,E52&amp;"_lose",E52&amp;"_draw")))</f>
        <v>Panamá_lose</v>
      </c>
      <c r="T52" s="40" t="str">
        <f>IF(S52="","",IF(F52&lt;G52,H52&amp;"_win",IF(F52&gt;G52,H52&amp;"_lose",H52&amp;"_draw")))</f>
        <v>Túnez_win</v>
      </c>
      <c r="U52" s="41">
        <f>IF(S52="",0,IF(VLOOKUP(E52,$AB$8:$AK$53,7,0)=VLOOKUP(H52,$AB$8:$AK$53,7,0),1,0))</f>
        <v>0</v>
      </c>
      <c r="V52" s="39">
        <f>U52*F52</f>
        <v>0</v>
      </c>
      <c r="W52" s="39">
        <f>U52*G52</f>
        <v>0</v>
      </c>
      <c r="X52" s="39">
        <f>IF(OR(E52=my_team,H52=my_team),1,0)</f>
        <v>0</v>
      </c>
      <c r="Y52" s="39">
        <f>IF(OR(F52="",G52=""),"",IF(F52&gt;G52,1,IF(F52&lt;G52,-1,0)))</f>
        <v>-1</v>
      </c>
      <c r="AA52" s="39">
        <f>COUNTIF(AN50:AN53,CONCATENATE("&gt;=",AN52))</f>
        <v>1</v>
      </c>
      <c r="AB52" s="41" t="str">
        <f>VLOOKUP("Colombia",T,lang,0)</f>
        <v>Colombia</v>
      </c>
      <c r="AC52" s="39">
        <f>COUNTIF($S$7:$T$54,"=" &amp; AB52 &amp; "_win")</f>
        <v>2</v>
      </c>
      <c r="AD52" s="39">
        <f>COUNTIF($S$7:$T$54,"=" &amp; AB52 &amp; "_draw")</f>
        <v>0</v>
      </c>
      <c r="AE52" s="39">
        <f>COUNTIF($S$7:$T$54,"=" &amp; AB52 &amp; "_lose")</f>
        <v>1</v>
      </c>
      <c r="AF52" s="39">
        <f>SUMIF($E$7:$E$54,$AB52,$F$7:$F$54) + SUMIF($H$7:$H$54,$AB52,$G$7:$G$54)</f>
        <v>5</v>
      </c>
      <c r="AG52" s="39">
        <f>SUMIF($E$7:$E$54,$AB52,$G$7:$G$54) + SUMIF($H$7:$H$54,$AB52,$F$7:$F$54)</f>
        <v>2</v>
      </c>
      <c r="AH52" s="39">
        <f>(AF52-AG52)*100+AK52*10000+AF52</f>
        <v>60305</v>
      </c>
      <c r="AI52" s="39">
        <f>AF52-AG52</f>
        <v>3</v>
      </c>
      <c r="AJ52" s="39">
        <f>(AI52-AI55)/AI54</f>
        <v>0.875</v>
      </c>
      <c r="AK52" s="39">
        <f>AC52*3+AD52</f>
        <v>6</v>
      </c>
      <c r="AL52" s="39">
        <f>AP52/AP54*1000+AQ52/AQ54*100+AT52/AT54*10+AR52/AR54</f>
        <v>0</v>
      </c>
      <c r="AM52" s="39">
        <f>VLOOKUP(AB52,db_fifarank,2,0)/2000000</f>
        <v>0.00053899999999999998</v>
      </c>
      <c r="AN52" s="41">
        <f>1000*AK52/AK54+100*AJ52+10*AF52/AF54+1*AL52/AL54+AM52</f>
        <v>1100.0005389999999</v>
      </c>
      <c r="AP52" s="39">
        <f>SUMPRODUCT(($S$7:$S$54=AB52&amp;"_win")*($U$7:$U$54))+SUMPRODUCT(($T$7:$T$54=AB52&amp;"_win")*($U$7:$U$54))</f>
        <v>0</v>
      </c>
      <c r="AQ52" s="39">
        <f>SUMPRODUCT(($S$7:$S$54=AB52&amp;"_draw")*($U$7:$U$54))+SUMPRODUCT(($T$7:$T$54=AB52&amp;"_draw")*($U$7:$U$54))</f>
        <v>0</v>
      </c>
      <c r="AR52" s="39">
        <f>SUMPRODUCT(($E$7:$E$54=AB52)*($U$7:$U$54)*($F$7:$F$54))+SUMPRODUCT(($H$7:$H$54=AB52)*($U$7:$U$54)*($G$7:$G$54))</f>
        <v>0</v>
      </c>
      <c r="AS52" s="39">
        <f>SUMPRODUCT(($E$7:$E$54=AB52)*($U$7:$U$54)*($G$7:$G$54))+SUMPRODUCT(($H$7:$H$54=AB52)*($U$7:$U$54)*($F$7:$F$54))</f>
        <v>0</v>
      </c>
      <c r="AT52" s="39">
        <f>AR52-AS52</f>
        <v>0</v>
      </c>
      <c r="AY52" s="97"/>
      <c r="AZ52" s="97"/>
      <c r="BA52" s="97"/>
      <c r="BB52" s="97"/>
    </row>
    <row ht="15" customHeight="1" r="53">
      <c r="A53" s="56">
        <v>47</v>
      </c>
      <c r="B53" s="57" t="str">
        <f>INDEX(T,18+INT(MOD(R53-1,7)),lang)</f>
        <v>Thu</v>
      </c>
      <c r="C53" s="58" t="str">
        <f>INDEX(T,24+MONTH(R53),lang) &amp; " " &amp; DAY(R53) &amp; ", " &amp; YEAR(R53)</f>
        <v xml:space="preserve">Jun 28, 2018</v>
      </c>
      <c r="D53" s="59">
        <f>TIME(HOUR(R53),MINUTE(R53),0)</f>
        <v>0.41666666666666702</v>
      </c>
      <c r="E53" s="60" t="str">
        <f>AB53</f>
        <v>Japón</v>
      </c>
      <c r="F53" s="61">
        <v>1</v>
      </c>
      <c r="G53" s="62">
        <v>1</v>
      </c>
      <c r="H53" s="63" t="str">
        <f>AB50</f>
        <v>Polonia</v>
      </c>
      <c r="J53" s="72" t="str">
        <f>VLOOKUP(3,AA50:AK53,2,0)</f>
        <v>Senegal</v>
      </c>
      <c r="K53" s="73">
        <f>L53+M53+N53</f>
        <v>3</v>
      </c>
      <c r="L53" s="73">
        <f>VLOOKUP(3,AA50:AK53,3,0)</f>
        <v>1</v>
      </c>
      <c r="M53" s="73">
        <f>VLOOKUP(3,AA50:AK53,4,0)</f>
        <v>1</v>
      </c>
      <c r="N53" s="73">
        <f>VLOOKUP(3,AA50:AK53,5,0)</f>
        <v>1</v>
      </c>
      <c r="O53" s="73" t="str">
        <f>VLOOKUP(3,AA50:AK53,6,0) &amp; " - " &amp; VLOOKUP(3,AA50:AK53,7,0)</f>
        <v xml:space="preserve">4 - 4</v>
      </c>
      <c r="P53" s="74">
        <f>L53*3+M53</f>
        <v>4</v>
      </c>
      <c r="R53" s="39">
        <f>DATE(2018,6,28)+TIME(3,0,0)+gmt_delta</f>
        <v>43279.416666666701</v>
      </c>
      <c r="S53" s="40" t="str">
        <f>IF(OR(F53="",G53=""),"",IF(F53&gt;G53,E53&amp;"_win",IF(F53&lt;G53,E53&amp;"_lose",E53&amp;"_draw")))</f>
        <v>Japón_draw</v>
      </c>
      <c r="T53" s="40" t="str">
        <f>IF(S53="","",IF(F53&lt;G53,H53&amp;"_win",IF(F53&gt;G53,H53&amp;"_lose",H53&amp;"_draw")))</f>
        <v>Polonia_draw</v>
      </c>
      <c r="U53" s="41">
        <f>IF(S53="",0,IF(VLOOKUP(E53,$AB$8:$AK$53,7,0)=VLOOKUP(H53,$AB$8:$AK$53,7,0),1,0))</f>
        <v>0</v>
      </c>
      <c r="V53" s="39">
        <f>U53*F53</f>
        <v>0</v>
      </c>
      <c r="W53" s="39">
        <f>U53*G53</f>
        <v>0</v>
      </c>
      <c r="X53" s="39">
        <f>IF(OR(E53=my_team,H53=my_team),1,0)</f>
        <v>0</v>
      </c>
      <c r="Y53" s="39">
        <f>IF(OR(F53="",G53=""),"",IF(F53&gt;G53,1,IF(F53&lt;G53,-1,0)))</f>
        <v>0</v>
      </c>
      <c r="AA53" s="39">
        <f>COUNTIF(AN50:AN53,CONCATENATE("&gt;=",AN53))</f>
        <v>2</v>
      </c>
      <c r="AB53" s="41" t="str">
        <f>VLOOKUP("Japan",T,lang,0)</f>
        <v>Japón</v>
      </c>
      <c r="AC53" s="39">
        <f>COUNTIF($S$7:$T$54,"=" &amp; AB53 &amp; "_win")</f>
        <v>1</v>
      </c>
      <c r="AD53" s="39">
        <f>COUNTIF($S$7:$T$54,"=" &amp; AB53 &amp; "_draw")</f>
        <v>2</v>
      </c>
      <c r="AE53" s="39">
        <f>COUNTIF($S$7:$T$54,"=" &amp; AB53 &amp; "_lose")</f>
        <v>0</v>
      </c>
      <c r="AF53" s="39">
        <f>SUMIF($E$7:$E$54,$AB53,$F$7:$F$54) + SUMIF($H$7:$H$54,$AB53,$G$7:$G$54)</f>
        <v>5</v>
      </c>
      <c r="AG53" s="39">
        <f>SUMIF($E$7:$E$54,$AB53,$G$7:$G$54) + SUMIF($H$7:$H$54,$AB53,$F$7:$F$54)</f>
        <v>4</v>
      </c>
      <c r="AH53" s="39">
        <f>(AF53-AG53)*100+AK53*10000+AF53</f>
        <v>50105</v>
      </c>
      <c r="AI53" s="39">
        <f>AF53-AG53</f>
        <v>1</v>
      </c>
      <c r="AJ53" s="39">
        <f>(AI53-AI55)/AI54</f>
        <v>0.625</v>
      </c>
      <c r="AK53" s="39">
        <f>AC53*3+AD53</f>
        <v>5</v>
      </c>
      <c r="AL53" s="39">
        <f>AP53/AP54*1000+AQ53/AQ54*100+AT53/AT54*10+AR53/AR54</f>
        <v>0</v>
      </c>
      <c r="AM53" s="39">
        <f>VLOOKUP(AB53,db_fifarank,2,0)/2000000</f>
        <v>0.00029999999999999997</v>
      </c>
      <c r="AN53" s="41">
        <f>1000*AK53/AK54+100*AJ53+10*AF53/AF54+1*AL53/AL54+AM53</f>
        <v>908.33363333333295</v>
      </c>
      <c r="AP53" s="39">
        <f>SUMPRODUCT(($S$7:$S$54=AB53&amp;"_win")*($U$7:$U$54))+SUMPRODUCT(($T$7:$T$54=AB53&amp;"_win")*($U$7:$U$54))</f>
        <v>0</v>
      </c>
      <c r="AQ53" s="39">
        <f>SUMPRODUCT(($S$7:$S$54=AB53&amp;"_draw")*($U$7:$U$54))+SUMPRODUCT(($T$7:$T$54=AB53&amp;"_draw")*($U$7:$U$54))</f>
        <v>0</v>
      </c>
      <c r="AR53" s="39">
        <f>SUMPRODUCT(($E$7:$E$54=AB53)*($U$7:$U$54)*($F$7:$F$54))+SUMPRODUCT(($H$7:$H$54=AB53)*($U$7:$U$54)*($G$7:$G$54))</f>
        <v>0</v>
      </c>
      <c r="AS53" s="39">
        <f>SUMPRODUCT(($E$7:$E$54=AB53)*($U$7:$U$54)*($G$7:$G$54))+SUMPRODUCT(($H$7:$H$54=AB53)*($U$7:$U$54)*($F$7:$F$54))</f>
        <v>0</v>
      </c>
      <c r="AT53" s="39">
        <f>AR53-AS53</f>
        <v>0</v>
      </c>
    </row>
    <row ht="15" customHeight="1" r="54">
      <c r="A54" s="98">
        <v>48</v>
      </c>
      <c r="B54" s="99" t="str">
        <f>INDEX(T,18+INT(MOD(R54-1,7)),lang)</f>
        <v>Thu</v>
      </c>
      <c r="C54" s="100" t="str">
        <f>INDEX(T,24+MONTH(R54),lang) &amp; " " &amp; DAY(R54) &amp; ", " &amp; YEAR(R54)</f>
        <v xml:space="preserve">Jun 28, 2018</v>
      </c>
      <c r="D54" s="101">
        <f>TIME(HOUR(R54),MINUTE(R54),0)</f>
        <v>0.41666666666666702</v>
      </c>
      <c r="E54" s="102" t="str">
        <f>AB51</f>
        <v>Senegal</v>
      </c>
      <c r="F54" s="80">
        <v>0</v>
      </c>
      <c r="G54" s="81">
        <v>1</v>
      </c>
      <c r="H54" s="103" t="str">
        <f>AB52</f>
        <v>Colombia</v>
      </c>
      <c r="J54" s="84" t="str">
        <f>VLOOKUP(4,AA50:AK53,2,0)</f>
        <v>Polonia</v>
      </c>
      <c r="K54" s="85">
        <f>L54+M54+N54</f>
        <v>3</v>
      </c>
      <c r="L54" s="85">
        <f>VLOOKUP(4,AA50:AK53,3,0)</f>
        <v>0</v>
      </c>
      <c r="M54" s="85">
        <f>VLOOKUP(4,AA50:AK53,4,0)</f>
        <v>1</v>
      </c>
      <c r="N54" s="85">
        <f>VLOOKUP(4,AA50:AK53,5,0)</f>
        <v>2</v>
      </c>
      <c r="O54" s="85" t="str">
        <f>VLOOKUP(4,AA50:AK53,6,0) &amp; " - " &amp; VLOOKUP(4,AA50:AK53,7,0)</f>
        <v xml:space="preserve">2 - 6</v>
      </c>
      <c r="P54" s="86">
        <f>L54*3+M54</f>
        <v>1</v>
      </c>
      <c r="R54" s="39">
        <f>DATE(2018,6,28)+TIME(3,0,0)+gmt_delta</f>
        <v>43279.416666666701</v>
      </c>
      <c r="S54" s="40" t="str">
        <f>IF(OR(F54="",G54=""),"",IF(F54&gt;G54,E54&amp;"_win",IF(F54&lt;G54,E54&amp;"_lose",E54&amp;"_draw")))</f>
        <v>Senegal_lose</v>
      </c>
      <c r="T54" s="40" t="str">
        <f>IF(S54="","",IF(F54&lt;G54,H54&amp;"_win",IF(F54&gt;G54,H54&amp;"_lose",H54&amp;"_draw")))</f>
        <v>Colombia_win</v>
      </c>
      <c r="U54" s="41">
        <f>IF(S54="",0,IF(VLOOKUP(E54,$AB$8:$AK$53,7,0)=VLOOKUP(H54,$AB$8:$AK$53,7,0),1,0))</f>
        <v>0</v>
      </c>
      <c r="V54" s="39">
        <f>U54*F54</f>
        <v>0</v>
      </c>
      <c r="W54" s="39">
        <f>U54*G54</f>
        <v>0</v>
      </c>
      <c r="X54" s="39">
        <f>IF(OR(E54=my_team,H54=my_team),1,0)</f>
        <v>0</v>
      </c>
      <c r="Y54" s="39">
        <f>IF(OR(F54="",G54=""),"",IF(F54&gt;G54,1,IF(F54&lt;G54,-1,0)))</f>
        <v>-1</v>
      </c>
      <c r="AC54" s="39">
        <f>MAX(AC50:AC53)-MIN(AC50:AC53)+1</f>
        <v>3</v>
      </c>
      <c r="AD54" s="39">
        <f>MAX(AD50:AD53)-MIN(AD50:AD53)+1</f>
        <v>3</v>
      </c>
      <c r="AE54" s="39">
        <f>MAX(AE50:AE53)-MIN(AE50:AE53)+1</f>
        <v>3</v>
      </c>
      <c r="AF54" s="39">
        <f>MAX(AF50:AF53)-MIN(AF50:AF53)+1</f>
        <v>4</v>
      </c>
      <c r="AG54" s="39">
        <f>MAX(AG50:AG53)-MIN(AG50:AG53)+1</f>
        <v>5</v>
      </c>
      <c r="AH54" s="39">
        <f>MAX(AH50:AH53)-AH55+1</f>
        <v>50704</v>
      </c>
      <c r="AI54" s="39">
        <f>MAX(AI50:AI53)-AI55+1</f>
        <v>8</v>
      </c>
      <c r="AK54" s="39">
        <f>MAX(AK50:AK53)-MIN(AK50:AK53)+1</f>
        <v>6</v>
      </c>
      <c r="AL54" s="39">
        <f>MAX(AL50:AL53)-MIN(AL50:AL53)+1</f>
        <v>1</v>
      </c>
      <c r="AP54" s="39">
        <f>MAX(AP50:AP53)-MIN(AP50:AP53)+1</f>
        <v>1</v>
      </c>
      <c r="AQ54" s="39">
        <f>MAX(AQ50:AQ53)-MIN(AQ50:AQ53)+1</f>
        <v>1</v>
      </c>
      <c r="AR54" s="39">
        <f>MAX(AR50:AR53)-MIN(AR50:AR53)+1</f>
        <v>1</v>
      </c>
      <c r="AS54" s="39">
        <f>MAX(AS50:AS53)-MIN(AS50:AS53)+1</f>
        <v>1</v>
      </c>
      <c r="AT54" s="39">
        <f>MAX(AT50:AT53)-MIN(AT50:AT53)+1</f>
        <v>1</v>
      </c>
    </row>
    <row ht="15" r="55">
      <c r="A55" s="37"/>
      <c r="B55" s="104"/>
      <c r="C55" s="37"/>
      <c r="D55" s="105"/>
      <c r="E55" s="106"/>
      <c r="F55" s="107"/>
      <c r="G55" s="107"/>
      <c r="H55" s="108"/>
      <c r="J55" s="36"/>
      <c r="K55" s="37"/>
      <c r="L55" s="37"/>
      <c r="M55" s="37"/>
      <c r="N55" s="37"/>
      <c r="O55" s="37"/>
      <c r="P55" s="37"/>
      <c r="AH55" s="39">
        <f>MIN(AH50:AH53)</f>
        <v>9602</v>
      </c>
      <c r="AI55" s="39">
        <f>MIN(AI50:AI53)</f>
        <v>-4</v>
      </c>
    </row>
    <row ht="12.75" customHeight="1" r="56"/>
    <row ht="12.75" customHeight="1" r="57"/>
    <row ht="15" r="58">
      <c r="R58" s="39">
        <f>DATE(2018,6,30)+TIME(7,0,0)+gmt_delta</f>
        <v>43281.583333333299</v>
      </c>
      <c r="S58" s="40" t="str">
        <f>IF(OR(BA10="",BA11=""),"",IF(BA10&gt;BA11,AZ10,IF(BA10&lt;BA11,AZ11,IF(OR(BB10="",BB11=""),"draw",IF(BB10&gt;BB11,AZ10,IF(BB10&lt;BB11,AZ11,"draw"))))))</f>
        <v>Uruguay</v>
      </c>
      <c r="T58" s="40" t="str">
        <f>IF(OR(S58="",S58="draw"),INDEX(T,86,lang),S58)</f>
        <v>Uruguay</v>
      </c>
    </row>
    <row ht="12.75" customHeight="1" r="59">
      <c r="R59" s="39">
        <f>DATE(2018,6,30)+TIME(3,0,0)+gmt_delta</f>
        <v>43281.416666666701</v>
      </c>
      <c r="S59" s="40" t="str">
        <f>IF(OR(BA14="",BA15=""),"",IF(BA14&gt;BA15,AZ14,IF(BA14&lt;BA15,AZ15,IF(OR(BB14="",BB15=""),"draw",IF(BB14&gt;BB15,AZ14,IF(BB14&lt;BB15,AZ15,"draw"))))))</f>
        <v>Francia</v>
      </c>
      <c r="T59" s="40" t="str">
        <f>IF(OR(S59="",S59="draw"),INDEX(T,87,lang),S59)</f>
        <v>Francia</v>
      </c>
    </row>
    <row ht="12.75" customHeight="1" r="60">
      <c r="R60" s="39">
        <f>DATE(2018,7,1)+TIME(3,0,0)+gmt_delta</f>
        <v>43282.416666666701</v>
      </c>
      <c r="S60" s="40" t="str">
        <f>IF(OR(BA26="",BA27=""),"",IF(BA26&gt;BA27,AZ26,IF(BA26&lt;BA27,AZ27,IF(OR(BB26="",BB27=""),"draw",IF(BB26&gt;BB27,AZ26,IF(BB26&lt;BB27,AZ27,"draw"))))))</f>
        <v>Rusia</v>
      </c>
      <c r="T60" s="40" t="str">
        <f>IF(OR(S60="",S60="draw"),INDEX(T,88,lang),S60)</f>
        <v>Rusia</v>
      </c>
    </row>
    <row ht="12.75" customHeight="1" r="61">
      <c r="R61" s="39">
        <f>DATE(2018,7,1)+TIME(7,0,0)+gmt_delta</f>
        <v>43282.583333333299</v>
      </c>
      <c r="S61" s="40" t="str">
        <f>IF(OR(BA30="",BA31=""),"",IF(BA30&gt;BA31,AZ30,IF(BA30&lt;BA31,AZ31,IF(OR(BB30="",BB31=""),"draw",IF(BB30&gt;BB31,AZ30,IF(BB30&lt;BB31,AZ31,"draw"))))))</f>
        <v>Croacia</v>
      </c>
      <c r="T61" s="40" t="str">
        <f>IF(OR(S61="",S61="draw"),INDEX(T,89,lang),S61)</f>
        <v>Croacia</v>
      </c>
    </row>
    <row ht="12.75" customHeight="1" r="62">
      <c r="R62" s="39">
        <f>DATE(2018,7,2)+TIME(3,0,0)+gmt_delta</f>
        <v>43283.416666666701</v>
      </c>
      <c r="S62" s="40" t="str">
        <f>IF(OR(BA18="",BA19=""),"",IF(BA18&gt;BA19,AZ18,IF(BA18&lt;BA19,AZ19,IF(OR(BB18="",BB19=""),"draw",IF(BB18&gt;BB19,AZ18,IF(BB18&lt;BB19,AZ19,"draw"))))))</f>
        <v>Brasil</v>
      </c>
      <c r="T62" s="40" t="str">
        <f>IF(OR(S62="",S62="draw"),INDEX(T,90,lang),S62)</f>
        <v>Brasil</v>
      </c>
    </row>
    <row ht="12.75" customHeight="1" r="63">
      <c r="R63" s="39">
        <f>DATE(2018,7,2)+TIME(7,0,0)+gmt_delta</f>
        <v>43283.583333333299</v>
      </c>
      <c r="S63" s="40" t="str">
        <f>IF(OR(BA22="",BA23=""),"",IF(BA22&gt;BA23,AZ22,IF(BA22&lt;BA23,AZ23,IF(OR(BB22="",BB23=""),"draw",IF(BB22&gt;BB23,AZ22,IF(BB22&lt;BB23,AZ23,"draw"))))))</f>
        <v>Bélgica</v>
      </c>
      <c r="T63" s="40" t="str">
        <f>IF(OR(S63="",S63="draw"),INDEX(T,91,lang),S63)</f>
        <v>Bélgica</v>
      </c>
    </row>
    <row ht="12.75" customHeight="1" r="64">
      <c r="R64" s="39">
        <f>DATE(2018,7,3)+TIME(3,0,0)+gmt_delta</f>
        <v>43284.416666666701</v>
      </c>
      <c r="S64" s="40" t="str">
        <f>IF(OR(BA34="",BA35=""),"",IF(BA34&gt;BA35,AZ34,IF(BA34&lt;BA35,AZ35,IF(OR(BB34="",BB35=""),"draw",IF(BB34&gt;BB35,AZ34,IF(BB34&lt;BB35,AZ35,"draw"))))))</f>
        <v>Suecia</v>
      </c>
      <c r="T64" s="40" t="str">
        <f>IF(OR(S64="",S64="draw"),INDEX(T,92,lang),S64)</f>
        <v>Suecia</v>
      </c>
    </row>
    <row ht="12.75" customHeight="1" r="65">
      <c r="R65" s="39">
        <f>DATE(2018,7,3)+TIME(7,0,0)+gmt_delta</f>
        <v>43284.583333333299</v>
      </c>
      <c r="S65" s="40" t="str">
        <f>IF(OR(BA38="",BA39=""),"",IF(BA38&gt;BA39,AZ38,IF(BA38&lt;BA39,AZ39,IF(OR(BB38="",BB39=""),"draw",IF(BB38&gt;BB39,AZ38,IF(BB38&lt;BB39,AZ39,"draw"))))))</f>
        <v>Inglaterra</v>
      </c>
      <c r="T65" s="40" t="str">
        <f>IF(OR(S65="",S65="draw"),INDEX(T,93,lang),S65)</f>
        <v>Inglaterra</v>
      </c>
    </row>
    <row ht="12.75" customHeight="1" r="66"/>
    <row ht="12.75" customHeight="1" r="67"/>
    <row ht="12.75" customHeight="1" r="68"/>
    <row ht="12.75" customHeight="1" r="69">
      <c r="R69" s="39">
        <f>DATE(2018,7,6)+TIME(3,0,0)+gmt_delta</f>
        <v>43287.416666666701</v>
      </c>
      <c r="S69" s="40" t="str">
        <f>IF(OR(BG12="",BG13=""),"",IF(BG12&gt;BG13,BF12,IF(BG12&lt;BG13,BF13,IF(OR(BH12="",BH13=""),"draw",IF(BH12&gt;BH13,BF12,IF(BH12&lt;BH13,BF13,"draw"))))))</f>
        <v>Francia</v>
      </c>
      <c r="T69" s="40" t="str">
        <f>IF(OR(S69="",S69="draw"),INDEX(T,94,lang),S69)</f>
        <v>Francia</v>
      </c>
    </row>
    <row ht="12.75" customHeight="1" r="70">
      <c r="R70" s="39">
        <f>DATE(2018,7,6)+TIME(7,0,0)+gmt_delta</f>
        <v>43287.583333333299</v>
      </c>
      <c r="S70" s="40" t="str">
        <f>IF(OR(BG20="",BG21=""),"",IF(BG20&gt;BG21,BF20,IF(BG20&lt;BG21,BF21,IF(OR(BH20="",BH21=""),"draw",IF(BH20&gt;BH21,BF20,IF(BH20&lt;BH21,BF21,"draw"))))))</f>
        <v>Bélgica</v>
      </c>
      <c r="T70" s="40" t="str">
        <f>IF(OR(S70="",S70="draw"),INDEX(T,95,lang),S70)</f>
        <v>Bélgica</v>
      </c>
    </row>
    <row ht="12.75" customHeight="1" r="71">
      <c r="R71" s="39">
        <f>DATE(2018,7,7)+TIME(3,0,0)+gmt_delta</f>
        <v>43288.416666666701</v>
      </c>
      <c r="S71" s="40" t="str">
        <f>IF(OR(BG28="",BG29=""),"",IF(BG28&gt;BG29,BF28,IF(BG28&lt;BG29,BF29,IF(OR(BH28="",BH29=""),"draw",IF(BH28&gt;BH29,BF28,IF(BH28&lt;BH29,BF29,"draw"))))))</f>
        <v>Croacia</v>
      </c>
      <c r="T71" s="40" t="str">
        <f>IF(OR(S71="",S71="draw"),INDEX(T,96,lang),S71)</f>
        <v>Croacia</v>
      </c>
    </row>
    <row ht="12.75" customHeight="1" r="72">
      <c r="R72" s="39">
        <f>DATE(2018,7,7)+TIME(7,0,0)+gmt_delta</f>
        <v>43288.583333333299</v>
      </c>
      <c r="S72" s="40" t="str">
        <f>IF(OR(BG36="",BG37=""),"",IF(BG36&gt;BG37,BF36,IF(BG36&lt;BG37,BF37,IF(OR(BH36="",BH37=""),"draw",IF(BH36&gt;BH37,BF36,IF(BH36&lt;BH37,BF37,"draw"))))))</f>
        <v>Inglaterra</v>
      </c>
      <c r="T72" s="40" t="str">
        <f>IF(OR(S72="",S72="draw"),INDEX(T,97,lang),S72)</f>
        <v>Inglaterra</v>
      </c>
    </row>
    <row ht="12.75" customHeight="1" r="73"/>
    <row ht="12.75" customHeight="1" r="74"/>
    <row ht="12.75" customHeight="1" r="75"/>
    <row ht="12.75" customHeight="1" r="76">
      <c r="R76" s="39">
        <f>DATE(2018,7,10)+TIME(7,0,0)+gmt_delta</f>
        <v>43291.583333333299</v>
      </c>
      <c r="S76" s="40" t="str">
        <f>IF(OR(BM16="",BM17=""),"",IF(BM16&gt;BM17,BL16,IF(BM16&lt;BM17,BL17,IF(OR(BN16="",BN17=""),"draw",IF(BN16&gt;BN17,BL16,IF(BN16&lt;BN17,BL17,"draw"))))))</f>
        <v>Francia</v>
      </c>
      <c r="T76" s="40" t="str">
        <f>IF(OR(S76="",S76="draw"),INDEX(T,98,lang),S76)</f>
        <v>Francia</v>
      </c>
      <c r="U76" s="40" t="str">
        <f>IF(OR(BM16="",BM17=""),"",IF(BM16&lt;BM17,BL16,IF(BM16&gt;BM17,BL17,IF(OR(BN16="",BN17=""),"draw",IF(BN16&lt;BN17,BL16,IF(BN16&gt;BN17,BL17,"draw"))))))</f>
        <v>Bélgica</v>
      </c>
      <c r="Z76" s="40" t="str">
        <f>IF(OR(U76="",U76="draw"),INDEX(T,100,lang),U76)</f>
        <v>Bélgica</v>
      </c>
    </row>
    <row ht="12.75" customHeight="1" r="77">
      <c r="R77" s="39">
        <f>DATE(2018,7,11)+TIME(7,0,0)+gmt_delta</f>
        <v>43292.583333333299</v>
      </c>
      <c r="S77" s="40" t="str">
        <f>IF(OR(BM32="",BM33=""),"",IF(BM32&gt;BM33,BL32,IF(BM32&lt;BM33,BL33,IF(OR(BN32="",BN33=""),"draw",IF(BN32&gt;BN33,BL32,IF(BN32&lt;BN33,BL33,"draw"))))))</f>
        <v>Croacia</v>
      </c>
      <c r="T77" s="40" t="str">
        <f>IF(OR(S77="",S77="draw"),INDEX(T,99,lang),S77)</f>
        <v>Croacia</v>
      </c>
      <c r="U77" s="40" t="str">
        <f>IF(OR(BM32="",BM33=""),"",IF(BM32&lt;BM33,BL32,IF(BM32&gt;BM33,BL33,IF(OR(BN32="",BN33=""),"draw",IF(BN32&lt;BN33,BL32,IF(BN32&gt;BN33,BL33,"draw"))))))</f>
        <v>Inglaterra</v>
      </c>
      <c r="Z77" s="40" t="str">
        <f>IF(OR(U77="",U77="draw"),INDEX(T,101,lang),U77)</f>
        <v>Inglaterra</v>
      </c>
    </row>
    <row ht="12.75" customHeight="1" r="79"/>
    <row ht="12.75" customHeight="1" r="80"/>
    <row ht="15" r="81">
      <c r="R81" s="39">
        <f>DATE(2018,7,14)+TIME(3,0,0)+gmt_delta</f>
        <v>43295.416666666701</v>
      </c>
      <c r="T81" s="40" t="str">
        <f>IF(OR(BS35="",BS36=""),"",IF(BS35&gt;BS36,BR35,IF(BS35&lt;BS36,BR36,IF(OR(BT35="",BT36=""),"",IF(BT35&gt;BT36,BR35,IF(BT35&lt;BT36,BR36,""))))))</f>
        <v>Bélgica</v>
      </c>
    </row>
    <row ht="12.75" customHeight="1" r="83"/>
    <row ht="12.75" customHeight="1" r="84"/>
    <row ht="15" r="85">
      <c r="R85" s="39">
        <f>DATE(2018,7,15)+TIME(4,0,0)+gmt_delta</f>
        <v>43296.458333333299</v>
      </c>
      <c r="S85" s="40" t="str">
        <f>IF(OR(BS23="",BS24=""),"",IF(BS23&gt;BS24,BR23,IF(BS23&lt;BS24,BR24,IF(OR(BT23="",BT24=""),"",IF(BT23&gt;BT24,BR23,IF(BT23&lt;BT24,BR24,""))))))</f>
        <v>Francia</v>
      </c>
      <c r="T85" s="40" t="str">
        <f>S85</f>
        <v>Francia</v>
      </c>
    </row>
    <row ht="12.75" customHeight="1" r="87"/>
    <row ht="12.75" customHeight="1" r="88"/>
    <row ht="12.75" customHeight="1" r="96"/>
    <row ht="12.75" customHeight="1" r="97"/>
  </sheetData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A7:E54">
    <cfRule type="expression" priority="101" aboveAverage="0" dxfId="0" rank="0" text="">
      <formula>IF($X7=1,1,0)</formula>
    </cfRule>
  </conditionalFormatting>
  <conditionalFormatting sqref="H7:H54">
    <cfRule type="expression" priority="100" aboveAverage="0" dxfId="1" rank="0" text="">
      <formula>IF(AND(X7=1,Y7=""),1,0)</formula>
    </cfRule>
  </conditionalFormatting>
  <conditionalFormatting sqref="H7:H54">
    <cfRule type="expression" priority="99" aboveAverage="0" dxfId="2" rank="0" text="">
      <formula>IF(AND(X7=1,Y7=0),1,0)</formula>
    </cfRule>
  </conditionalFormatting>
  <conditionalFormatting sqref="H7:H54">
    <cfRule type="expression" priority="98" aboveAverage="0" dxfId="3" rank="0" text="">
      <formula>IF(AND(X7=0,Y7=0),1,0)</formula>
    </cfRule>
  </conditionalFormatting>
  <conditionalFormatting sqref="H7:H54">
    <cfRule type="expression" priority="97" aboveAverage="0" dxfId="4" rank="0" text="">
      <formula>IF(AND(X7=1,Y7=1),1,0)</formula>
    </cfRule>
  </conditionalFormatting>
  <conditionalFormatting sqref="H7:H54">
    <cfRule type="expression" priority="96" aboveAverage="0" dxfId="5" rank="0" text="">
      <formula>IF(AND(X7=0,Y7=1),1,0)</formula>
    </cfRule>
  </conditionalFormatting>
  <conditionalFormatting sqref="H7:H54">
    <cfRule type="expression" priority="95" aboveAverage="0" dxfId="6" rank="0" text="">
      <formula>IF(AND(X7=1,Y7=-1),1,0)</formula>
    </cfRule>
  </conditionalFormatting>
  <conditionalFormatting sqref="H7:H54">
    <cfRule type="expression" priority="94" aboveAverage="0" dxfId="7" rank="0" text="">
      <formula>IF(AND(X7=0,Y7=-1),1,0)</formula>
    </cfRule>
  </conditionalFormatting>
  <conditionalFormatting sqref="E7:E54">
    <cfRule type="expression" priority="93" aboveAverage="0" dxfId="8" rank="0" text="">
      <formula>IF(AND(X7=1,Y7=0),1,0)</formula>
    </cfRule>
  </conditionalFormatting>
  <conditionalFormatting sqref="E7:E54">
    <cfRule type="expression" priority="92" aboveAverage="0" dxfId="9" rank="0" text="">
      <formula>IF(AND(X7=0,Y7=0),1,0)</formula>
    </cfRule>
  </conditionalFormatting>
  <conditionalFormatting sqref="E7:E54">
    <cfRule type="expression" priority="91" aboveAverage="0" dxfId="10" rank="0" text="">
      <formula>IF(AND(X7=1,Y7=1),1,0)</formula>
    </cfRule>
  </conditionalFormatting>
  <conditionalFormatting sqref="E7:E54">
    <cfRule type="expression" priority="90" aboveAverage="0" dxfId="11" rank="0" text="">
      <formula>IF(AND(X7=0,Y7=1),1,0)</formula>
    </cfRule>
  </conditionalFormatting>
  <conditionalFormatting sqref="E7:E54">
    <cfRule type="expression" priority="89" aboveAverage="0" dxfId="12" rank="0" text="">
      <formula>IF(AND(X7=1,Y7=-1),1,0)</formula>
    </cfRule>
  </conditionalFormatting>
  <conditionalFormatting sqref="E7:E54">
    <cfRule type="expression" priority="88" aboveAverage="0" dxfId="13" rank="0" text="">
      <formula>IF(AND(X7=0,Y7=-1),1,0)</formula>
    </cfRule>
  </conditionalFormatting>
  <conditionalFormatting sqref="BR36">
    <cfRule type="expression" priority="87" aboveAverage="0" dxfId="14" rank="0" text="">
      <formula>IF($BR35=$T81,1,0)</formula>
    </cfRule>
  </conditionalFormatting>
  <conditionalFormatting sqref="BR36">
    <cfRule type="expression" priority="86" aboveAverage="0" dxfId="15" rank="0" text="">
      <formula>IF($BR36=$T81,1,0)</formula>
    </cfRule>
  </conditionalFormatting>
  <conditionalFormatting sqref="BR35">
    <cfRule type="expression" priority="85" aboveAverage="0" dxfId="16" rank="0" text="">
      <formula>IF($BR36=$T81,1,0)</formula>
    </cfRule>
  </conditionalFormatting>
  <conditionalFormatting sqref="BR35">
    <cfRule type="expression" priority="84" aboveAverage="0" dxfId="17" rank="0" text="">
      <formula>IF($BR35=$T81,1,0)</formula>
    </cfRule>
  </conditionalFormatting>
  <conditionalFormatting sqref="BR24">
    <cfRule type="expression" priority="83" aboveAverage="0" dxfId="18" rank="0" text="">
      <formula>IF($BR23=$T85,1,0)</formula>
    </cfRule>
  </conditionalFormatting>
  <conditionalFormatting sqref="BR24">
    <cfRule type="expression" priority="82" aboveAverage="0" dxfId="19" rank="0" text="">
      <formula>IF($BR24=$T85,1,0)</formula>
    </cfRule>
  </conditionalFormatting>
  <conditionalFormatting sqref="BR23">
    <cfRule type="expression" priority="81" aboveAverage="0" dxfId="20" rank="0" text="">
      <formula>IF($BR24=$T85,1,0)</formula>
    </cfRule>
  </conditionalFormatting>
  <conditionalFormatting sqref="BR23">
    <cfRule type="expression" priority="80" aboveAverage="0" dxfId="21" rank="0" text="">
      <formula>IF($BR23=$T85,1,0)</formula>
    </cfRule>
  </conditionalFormatting>
  <conditionalFormatting sqref="BL33">
    <cfRule type="expression" priority="79" aboveAverage="0" dxfId="22" rank="0" text="">
      <formula>IF($BL32=$T77,1,0)</formula>
    </cfRule>
  </conditionalFormatting>
  <conditionalFormatting sqref="BL33">
    <cfRule type="expression" priority="78" aboveAverage="0" dxfId="23" rank="0" text="">
      <formula>IF($BL33=$T77,1,0)</formula>
    </cfRule>
  </conditionalFormatting>
  <conditionalFormatting sqref="BL32">
    <cfRule type="expression" priority="77" aboveAverage="0" dxfId="24" rank="0" text="">
      <formula>IF($BL33=$T77,1,0)</formula>
    </cfRule>
  </conditionalFormatting>
  <conditionalFormatting sqref="BL32">
    <cfRule type="expression" priority="76" aboveAverage="0" dxfId="25" rank="0" text="">
      <formula>IF($BL32=$T77,1,0)</formula>
    </cfRule>
  </conditionalFormatting>
  <conditionalFormatting sqref="BL17">
    <cfRule type="expression" priority="75" aboveAverage="0" dxfId="26" rank="0" text="">
      <formula>IF($BL16=$T76,1,0)</formula>
    </cfRule>
  </conditionalFormatting>
  <conditionalFormatting sqref="BL17">
    <cfRule type="expression" priority="74" aboveAverage="0" dxfId="27" rank="0" text="">
      <formula>IF($BL17=$T76,1,0)</formula>
    </cfRule>
  </conditionalFormatting>
  <conditionalFormatting sqref="BL16">
    <cfRule type="expression" priority="73" aboveAverage="0" dxfId="28" rank="0" text="">
      <formula>IF($BL17=$T76,1,0)</formula>
    </cfRule>
  </conditionalFormatting>
  <conditionalFormatting sqref="BL16">
    <cfRule type="expression" priority="72" aboveAverage="0" dxfId="29" rank="0" text="">
      <formula>IF($BL16=$T76,1,0)</formula>
    </cfRule>
  </conditionalFormatting>
  <conditionalFormatting sqref="BF37">
    <cfRule type="expression" priority="71" aboveAverage="0" dxfId="30" rank="0" text="">
      <formula>IF($BF36=$T72,1,0)</formula>
    </cfRule>
  </conditionalFormatting>
  <conditionalFormatting sqref="BF37">
    <cfRule type="expression" priority="70" aboveAverage="0" dxfId="31" rank="0" text="">
      <formula>IF($BF37=$T72,1,0)</formula>
    </cfRule>
  </conditionalFormatting>
  <conditionalFormatting sqref="BF36">
    <cfRule type="expression" priority="69" aboveAverage="0" dxfId="32" rank="0" text="">
      <formula>IF($BF37=$T72,1,0)</formula>
    </cfRule>
  </conditionalFormatting>
  <conditionalFormatting sqref="BF36">
    <cfRule type="expression" priority="68" aboveAverage="0" dxfId="33" rank="0" text="">
      <formula>IF($BF36=$T72,1,0)</formula>
    </cfRule>
  </conditionalFormatting>
  <conditionalFormatting sqref="BF29">
    <cfRule type="expression" priority="67" aboveAverage="0" dxfId="34" rank="0" text="">
      <formula>IF($BF28=$T71,1,0)</formula>
    </cfRule>
  </conditionalFormatting>
  <conditionalFormatting sqref="BF29">
    <cfRule type="expression" priority="66" aboveAverage="0" dxfId="35" rank="0" text="">
      <formula>IF($BF29=$T71,1,0)</formula>
    </cfRule>
  </conditionalFormatting>
  <conditionalFormatting sqref="BF28">
    <cfRule type="expression" priority="65" aboveAverage="0" dxfId="36" rank="0" text="">
      <formula>IF($BF29=$T71,1,0)</formula>
    </cfRule>
  </conditionalFormatting>
  <conditionalFormatting sqref="BF28">
    <cfRule type="expression" priority="64" aboveAverage="0" dxfId="37" rank="0" text="">
      <formula>IF($BF28=$T71,1,0)</formula>
    </cfRule>
  </conditionalFormatting>
  <conditionalFormatting sqref="BF21">
    <cfRule type="expression" priority="63" aboveAverage="0" dxfId="38" rank="0" text="">
      <formula>IF($BF20=$T70,1,0)</formula>
    </cfRule>
  </conditionalFormatting>
  <conditionalFormatting sqref="BF21">
    <cfRule type="expression" priority="62" aboveAverage="0" dxfId="39" rank="0" text="">
      <formula>IF($BF21=$T70,1,0)</formula>
    </cfRule>
  </conditionalFormatting>
  <conditionalFormatting sqref="BF20">
    <cfRule type="expression" priority="61" aboveAverage="0" dxfId="40" rank="0" text="">
      <formula>IF($BF21=$T70,1,0)</formula>
    </cfRule>
  </conditionalFormatting>
  <conditionalFormatting sqref="BF20">
    <cfRule type="expression" priority="60" aboveAverage="0" dxfId="41" rank="0" text="">
      <formula>IF($BF20=$T70,1,0)</formula>
    </cfRule>
  </conditionalFormatting>
  <conditionalFormatting sqref="BF13">
    <cfRule type="expression" priority="59" aboveAverage="0" dxfId="42" rank="0" text="">
      <formula>IF($BF12=$T69,1,0)</formula>
    </cfRule>
  </conditionalFormatting>
  <conditionalFormatting sqref="BF13">
    <cfRule type="expression" priority="58" aboveAverage="0" dxfId="43" rank="0" text="">
      <formula>IF($BF13=$T69,1,0)</formula>
    </cfRule>
  </conditionalFormatting>
  <conditionalFormatting sqref="BF12">
    <cfRule type="expression" priority="57" aboveAverage="0" dxfId="44" rank="0" text="">
      <formula>IF($BF13=$T69,1,0)</formula>
    </cfRule>
  </conditionalFormatting>
  <conditionalFormatting sqref="BF12">
    <cfRule type="expression" priority="56" aboveAverage="0" dxfId="45" rank="0" text="">
      <formula>IF($BF12=$T69,1,0)</formula>
    </cfRule>
  </conditionalFormatting>
  <conditionalFormatting sqref="AZ23">
    <cfRule type="expression" priority="55" aboveAverage="0" dxfId="46" rank="0" text="">
      <formula>IF($AZ22=$T63,1,0)</formula>
    </cfRule>
  </conditionalFormatting>
  <conditionalFormatting sqref="AZ23">
    <cfRule type="expression" priority="54" aboveAverage="0" dxfId="47" rank="0" text="">
      <formula>IF($AZ23=$T63,1,0)</formula>
    </cfRule>
  </conditionalFormatting>
  <conditionalFormatting sqref="AZ22">
    <cfRule type="expression" priority="53" aboveAverage="0" dxfId="48" rank="0" text="">
      <formula>IF($AZ23=$T63,1,0)</formula>
    </cfRule>
  </conditionalFormatting>
  <conditionalFormatting sqref="AZ22">
    <cfRule type="expression" priority="52" aboveAverage="0" dxfId="49" rank="0" text="">
      <formula>IF($AZ22=$T63,1,0)</formula>
    </cfRule>
  </conditionalFormatting>
  <conditionalFormatting sqref="AZ19">
    <cfRule type="expression" priority="51" aboveAverage="0" dxfId="50" rank="0" text="">
      <formula>IF($AZ18=$T62,1,0)</formula>
    </cfRule>
  </conditionalFormatting>
  <conditionalFormatting sqref="AZ19">
    <cfRule type="expression" priority="50" aboveAverage="0" dxfId="51" rank="0" text="">
      <formula>IF($AZ19=$T62,1,0)</formula>
    </cfRule>
  </conditionalFormatting>
  <conditionalFormatting sqref="AZ18">
    <cfRule type="expression" priority="49" aboveAverage="0" dxfId="52" rank="0" text="">
      <formula>IF($AZ19=$T62,1,0)</formula>
    </cfRule>
  </conditionalFormatting>
  <conditionalFormatting sqref="AZ18">
    <cfRule type="expression" priority="48" aboveAverage="0" dxfId="53" rank="0" text="">
      <formula>IF($AZ18=$T62,1,0)</formula>
    </cfRule>
  </conditionalFormatting>
  <conditionalFormatting sqref="AZ31">
    <cfRule type="expression" priority="47" aboveAverage="0" dxfId="54" rank="0" text="">
      <formula>IF($AZ30=$T61,1,0)</formula>
    </cfRule>
  </conditionalFormatting>
  <conditionalFormatting sqref="AZ31">
    <cfRule type="expression" priority="46" aboveAverage="0" dxfId="55" rank="0" text="">
      <formula>IF($AZ31=$T61,1,0)</formula>
    </cfRule>
  </conditionalFormatting>
  <conditionalFormatting sqref="AZ30">
    <cfRule type="expression" priority="45" aboveAverage="0" dxfId="56" rank="0" text="">
      <formula>IF($AZ31=$T61,1,0)</formula>
    </cfRule>
  </conditionalFormatting>
  <conditionalFormatting sqref="AZ30">
    <cfRule type="expression" priority="44" aboveAverage="0" dxfId="57" rank="0" text="">
      <formula>IF($AZ30=$T61,1,0)</formula>
    </cfRule>
  </conditionalFormatting>
  <conditionalFormatting sqref="AZ27">
    <cfRule type="expression" priority="43" aboveAverage="0" dxfId="58" rank="0" text="">
      <formula>IF($AZ26=$T60,1,0)</formula>
    </cfRule>
  </conditionalFormatting>
  <conditionalFormatting sqref="AZ27">
    <cfRule type="expression" priority="42" aboveAverage="0" dxfId="59" rank="0" text="">
      <formula>IF($AZ27=$T60,1,0)</formula>
    </cfRule>
  </conditionalFormatting>
  <conditionalFormatting sqref="AZ26">
    <cfRule type="expression" priority="41" aboveAverage="0" dxfId="60" rank="0" text="">
      <formula>IF($AZ27=$T60,а,0)</formula>
    </cfRule>
  </conditionalFormatting>
  <conditionalFormatting sqref="AZ26">
    <cfRule type="expression" priority="40" aboveAverage="0" dxfId="61" rank="0" text="">
      <formula>IF($AZ26=$T60,1,0)</formula>
    </cfRule>
  </conditionalFormatting>
  <conditionalFormatting sqref="AZ39">
    <cfRule type="expression" priority="39" aboveAverage="0" dxfId="62" rank="0" text="">
      <formula>IF($AZ38=$T65,1,0)</formula>
    </cfRule>
  </conditionalFormatting>
  <conditionalFormatting sqref="AZ39">
    <cfRule type="expression" priority="38" aboveAverage="0" dxfId="63" rank="0" text="">
      <formula>IF($AZ39=$T65,1,0)</formula>
    </cfRule>
  </conditionalFormatting>
  <conditionalFormatting sqref="AZ38">
    <cfRule type="expression" priority="37" aboveAverage="0" dxfId="64" rank="0" text="">
      <formula>IF($AZ39=$T65,1,0)</formula>
    </cfRule>
  </conditionalFormatting>
  <conditionalFormatting sqref="AZ38">
    <cfRule type="expression" priority="36" aboveAverage="0" dxfId="65" rank="0" text="">
      <formula>IF($AZ38=$T65,1,0)</formula>
    </cfRule>
  </conditionalFormatting>
  <conditionalFormatting sqref="AZ35">
    <cfRule type="expression" priority="35" aboveAverage="0" dxfId="66" rank="0" text="">
      <formula>IF($AZ34=$T64,1,0)</formula>
    </cfRule>
  </conditionalFormatting>
  <conditionalFormatting sqref="AZ35">
    <cfRule type="expression" priority="34" aboveAverage="0" dxfId="67" rank="0" text="">
      <formula>IF($AZ35=$T64,1,0)</formula>
    </cfRule>
  </conditionalFormatting>
  <conditionalFormatting sqref="AZ34">
    <cfRule type="expression" priority="33" aboveAverage="0" dxfId="68" rank="0" text="">
      <formula>IF($AZ35=$T64,1,0)</formula>
    </cfRule>
  </conditionalFormatting>
  <conditionalFormatting sqref="AZ34">
    <cfRule type="expression" priority="32" aboveAverage="0" dxfId="69" rank="0" text="">
      <formula>IF($AZ34=$T64,1,0)</formula>
    </cfRule>
  </conditionalFormatting>
  <conditionalFormatting sqref="AZ15">
    <cfRule type="expression" priority="31" aboveAverage="0" dxfId="70" rank="0" text="">
      <formula>IF($AZ14=$T59,1,0)</formula>
    </cfRule>
  </conditionalFormatting>
  <conditionalFormatting sqref="AZ15">
    <cfRule type="expression" priority="30" aboveAverage="0" dxfId="71" rank="0" text="">
      <formula>IF($AZ15=$T59,1,0)</formula>
    </cfRule>
  </conditionalFormatting>
  <conditionalFormatting sqref="AZ14">
    <cfRule type="expression" priority="29" aboveAverage="0" dxfId="72" rank="0" text="">
      <formula>IF($AZ15=$T59,1,0)</formula>
    </cfRule>
  </conditionalFormatting>
  <conditionalFormatting sqref="AZ14">
    <cfRule type="expression" priority="28" aboveAverage="0" dxfId="73" rank="0" text="">
      <formula>IF($AZ14=$T59,1,0)</formula>
    </cfRule>
  </conditionalFormatting>
  <conditionalFormatting sqref="AZ11">
    <cfRule type="expression" priority="27" aboveAverage="0" dxfId="74" rank="0" text="">
      <formula>IF($AZ10=$T58,1,0)</formula>
    </cfRule>
  </conditionalFormatting>
  <conditionalFormatting sqref="AZ11">
    <cfRule type="expression" priority="26" aboveAverage="0" dxfId="75" rank="0" text="">
      <formula>IF($AZ11=$T58,1,0)</formula>
    </cfRule>
  </conditionalFormatting>
  <conditionalFormatting sqref="AZ10">
    <cfRule type="expression" priority="25" aboveAverage="0" dxfId="76" rank="0" text="">
      <formula>IF($AZ11=$T58,1,0)</formula>
    </cfRule>
  </conditionalFormatting>
  <conditionalFormatting sqref="AZ10">
    <cfRule type="expression" priority="24" aboveAverage="0" dxfId="77" rank="0" text="">
      <formula>IF($AZ10=$T58,1,0)</formula>
    </cfRule>
  </conditionalFormatting>
  <conditionalFormatting sqref="BT24 BT36">
    <cfRule type="expression" priority="23" aboveAverage="0" dxfId="78" rank="0" text="">
      <formula>IF(AND($BT23&lt;$BT24,ISNUMBER($BT23),ISNUMBER($BT24)),1,0)</formula>
    </cfRule>
  </conditionalFormatting>
  <conditionalFormatting sqref="BT23 BT35">
    <cfRule type="expression" priority="22" aboveAverage="0" dxfId="79" rank="0" text="">
      <formula>IF(AND($BT23&gt;$BT24,ISNUMBER($BT23),ISNUMBER($BT24)),1,0)</formula>
    </cfRule>
  </conditionalFormatting>
  <conditionalFormatting sqref="BS24 BS36">
    <cfRule type="expression" priority="21" aboveAverage="0" dxfId="80" rank="0" text="">
      <formula>IF(AND($BS23&lt;$BS24,ISNUMBER($BS23),ISNUMBER($BS24)),1,0)</formula>
    </cfRule>
  </conditionalFormatting>
  <conditionalFormatting sqref="BS23 BS35">
    <cfRule type="expression" priority="20" aboveAverage="0" dxfId="81" rank="0" text="">
      <formula>IF(AND($BS23&gt;$BS24,ISNUMBER($BS23),ISNUMBER($BS24)),1,0)</formula>
    </cfRule>
  </conditionalFormatting>
  <conditionalFormatting sqref="BN17 BN33">
    <cfRule type="expression" priority="19" aboveAverage="0" dxfId="82" rank="0" text="">
      <formula>IF(AND($BN16&lt;$BN17,ISNUMBER($BN16),ISNUMBER($BN17)),1,0)</formula>
    </cfRule>
  </conditionalFormatting>
  <conditionalFormatting sqref="BN16 BN32">
    <cfRule type="expression" priority="18" aboveAverage="0" dxfId="83" rank="0" text="">
      <formula>IF(AND($BN16&gt;$BN17,ISNUMBER($BN16),ISNUMBER($BN17)),1,0)</formula>
    </cfRule>
  </conditionalFormatting>
  <conditionalFormatting sqref="BM17 BM33">
    <cfRule type="expression" priority="17" aboveAverage="0" dxfId="84" rank="0" text="">
      <formula>IF(AND($BM16&lt;$BM17,ISNUMBER($BM16),ISNUMBER($BM17)),1,0)</formula>
    </cfRule>
  </conditionalFormatting>
  <conditionalFormatting sqref="BM16 BM32">
    <cfRule type="expression" priority="16" aboveAverage="0" dxfId="85" rank="0" text="">
      <formula>IF(AND($BM16&gt;$BM17,ISNUMBER($BM16),ISNUMBER($BM17)),1,0)</formula>
    </cfRule>
  </conditionalFormatting>
  <conditionalFormatting sqref="BH13 BH21 BH29 BH37">
    <cfRule type="expression" priority="15" aboveAverage="0" dxfId="86" rank="0" text="">
      <formula>IF(AND($BH12&lt;$BH13,ISNUMBER($BH12),ISNUMBER($BH13)),1,0)</formula>
    </cfRule>
  </conditionalFormatting>
  <conditionalFormatting sqref="BH12 BH20 BH28 BH36">
    <cfRule type="expression" priority="14" aboveAverage="0" dxfId="87" rank="0" text="">
      <formula>IF(AND($BH12&gt;$BH13,ISNUMBER($BH12),ISNUMBER($BH13)),1,0)</formula>
    </cfRule>
  </conditionalFormatting>
  <conditionalFormatting sqref="BG13 BG21 BG29 BG37">
    <cfRule type="expression" priority="13" aboveAverage="0" dxfId="88" rank="0" text="">
      <formula>IF(AND($BG12&lt;$BG13,ISNUMBER($BG12),ISNUMBER($BG13)),1,0)</formula>
    </cfRule>
  </conditionalFormatting>
  <conditionalFormatting sqref="BG12 BG20 BG28 BG36">
    <cfRule type="expression" priority="12" aboveAverage="0" dxfId="89" rank="0" text="">
      <formula>IF(AND($BG12&gt;$BG13,ISNUMBER($BG12),ISNUMBER($BG13)),1,0)</formula>
    </cfRule>
  </conditionalFormatting>
  <conditionalFormatting sqref="BB11 BB15 BB35 BB39 BB27 BB31 BB19 BB23">
    <cfRule type="expression" priority="11" aboveAverage="0" dxfId="90" rank="0" text="">
      <formula>IF(AND($BB10&lt;$BB11,ISNUMBER($BB10),ISNUMBER($BB11)),1,0)</formula>
    </cfRule>
  </conditionalFormatting>
  <conditionalFormatting sqref="BB10 BB14 BB34 BB38 BB26 BB30 BB18 BB22">
    <cfRule type="expression" priority="10" aboveAverage="0" dxfId="91" rank="0" text="">
      <formula>IF(AND($BB10&gt;$BB11,ISNUMBER($BB10),ISNUMBER($BB11)),1,0)</formula>
    </cfRule>
  </conditionalFormatting>
  <conditionalFormatting sqref="BA11 BA15 BA35 BA39 BA27 BA31 BA19 BA23">
    <cfRule type="expression" priority="9" aboveAverage="0" dxfId="92" rank="0" text="">
      <formula>IF(AND($BA10&lt;$BA11,ISNUMBER($BA10),ISNUMBER($BA11)),1,0)</formula>
    </cfRule>
  </conditionalFormatting>
  <conditionalFormatting sqref="BA10 BA14 BA34 BA38 BA26 BA30 BA18 BA22">
    <cfRule type="expression" priority="8" aboveAverage="0" dxfId="93" rank="0" text="">
      <formula>IF(AND($BA10&gt;$BA11,ISNUMBER($BA10),ISNUMBER($BA11)),1,0)</formula>
    </cfRule>
  </conditionalFormatting>
  <conditionalFormatting sqref="J11:P11 J17:P17 J23:P23 J29:P29 J35:P35 J41:P41 J47:P47 J53:P53">
    <cfRule type="expression" priority="7" aboveAverage="0" dxfId="94" rank="0" text="">
      <formula>IF(SUM($K9:$K12)=12,1,0)</formula>
    </cfRule>
  </conditionalFormatting>
  <conditionalFormatting sqref="J18:P18 J12:P12 J48:P48 J24:P24 J30:P30 J36:P36 J42:P42 J54:P55">
    <cfRule type="expression" priority="6" aboveAverage="0" dxfId="95" rank="0" text="">
      <formula>IF(SUM($K9:$K12)=12,1,0)</formula>
    </cfRule>
  </conditionalFormatting>
  <conditionalFormatting sqref="J16:P16 J10:P10 J46:P46 J22:P22 J28:P28 J34:P34 J40:P40 J52:P52">
    <cfRule type="expression" priority="5" aboveAverage="0" dxfId="96" rank="0" text="">
      <formula>IF(SUM($K9:$K12)=12,1,0)</formula>
    </cfRule>
  </conditionalFormatting>
  <conditionalFormatting sqref="J15:P15 J9:P9 J45:P45 J21:P21 J27:P27 J33:P33 J39:P39 J51:P51">
    <cfRule type="expression" priority="4" aboveAverage="0" dxfId="97" rank="0" text="">
      <formula>IF(SUM($K9:$K12)=12,1,0)</formula>
    </cfRule>
  </conditionalFormatting>
  <conditionalFormatting sqref="G7:G55">
    <cfRule type="expression" priority="3" aboveAverage="0" dxfId="98" rank="0" text="">
      <formula>IF(AND($F7&lt;$G7,ISNUMBER($F7),ISNUMBER($G7)),1,0)</formula>
    </cfRule>
  </conditionalFormatting>
  <conditionalFormatting sqref="F7:F55">
    <cfRule type="expression" priority="2" aboveAverage="0" dxfId="99" rank="0" text="">
      <formula>IF(AND($F7&gt;$G7,ISNUMBER($F7),ISNUMBER($G7)),1,0)</formula>
    </cfRule>
  </conditionalFormatting>
  <hyperlinks>
    <hyperlink r:id="rId1" ref="J5"/>
    <hyperlink r:id="rId2" ref="AY46"/>
  </hyperlinks>
  <printOptions headings="0" gridLines="1" gridLinesSet="1"/>
  <pageMargins left="0.69999999999999996" right="0.69999999999999996" top="0.75" bottom="0.75" header="0.5" footer="0.5"/>
  <pageSetup paperSize="9"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ONLYOFFICE/2.4.526.0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