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<sst xmlns="http://schemas.openxmlformats.org/spreadsheetml/2006/main" count="4451" uniqueCount="2560">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</sst>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1484640</xdr:colOff>
      <xdr:row>6</xdr:row>
      <xdr:rowOff>168120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28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1484640</xdr:colOff>
      <xdr:row>22</xdr:row>
      <xdr:rowOff>164160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28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246240</xdr:colOff>
      <xdr:row>38</xdr:row>
      <xdr:rowOff>164160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284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243360</xdr:colOff>
      <xdr:row>6</xdr:row>
      <xdr:rowOff>169560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243360</xdr:colOff>
      <xdr:row>23</xdr:row>
      <xdr:rowOff>169560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1481760</xdr:colOff>
      <xdr:row>39</xdr:row>
      <xdr:rowOff>170280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1481760</xdr:colOff>
      <xdr:row>7</xdr:row>
      <xdr:rowOff>169560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248040</xdr:colOff>
      <xdr:row>22</xdr:row>
      <xdr:rowOff>170280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243360</xdr:colOff>
      <xdr:row>39</xdr:row>
      <xdr:rowOff>170280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238680</xdr:colOff>
      <xdr:row>7</xdr:row>
      <xdr:rowOff>178560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1481760</xdr:colOff>
      <xdr:row>23</xdr:row>
      <xdr:rowOff>183240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1481760</xdr:colOff>
      <xdr:row>38</xdr:row>
      <xdr:rowOff>174960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1481760</xdr:colOff>
      <xdr:row>8</xdr:row>
      <xdr:rowOff>170280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1481760</xdr:colOff>
      <xdr:row>24</xdr:row>
      <xdr:rowOff>169560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243360</xdr:colOff>
      <xdr:row>40</xdr:row>
      <xdr:rowOff>170280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238680</xdr:colOff>
      <xdr:row>8</xdr:row>
      <xdr:rowOff>170280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243360</xdr:colOff>
      <xdr:row>25</xdr:row>
      <xdr:rowOff>174240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1477080</xdr:colOff>
      <xdr:row>41</xdr:row>
      <xdr:rowOff>169560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238680</xdr:colOff>
      <xdr:row>41</xdr:row>
      <xdr:rowOff>174240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243360</xdr:colOff>
      <xdr:row>24</xdr:row>
      <xdr:rowOff>169560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1481760</xdr:colOff>
      <xdr:row>9</xdr:row>
      <xdr:rowOff>165600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238680</xdr:colOff>
      <xdr:row>9</xdr:row>
      <xdr:rowOff>170280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1481760</xdr:colOff>
      <xdr:row>25</xdr:row>
      <xdr:rowOff>164880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1481760</xdr:colOff>
      <xdr:row>40</xdr:row>
      <xdr:rowOff>165600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1481760</xdr:colOff>
      <xdr:row>10</xdr:row>
      <xdr:rowOff>170280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1481760</xdr:colOff>
      <xdr:row>26</xdr:row>
      <xdr:rowOff>170280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238680</xdr:colOff>
      <xdr:row>42</xdr:row>
      <xdr:rowOff>169560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238680</xdr:colOff>
      <xdr:row>10</xdr:row>
      <xdr:rowOff>170280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238680</xdr:colOff>
      <xdr:row>27</xdr:row>
      <xdr:rowOff>165600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1477080</xdr:colOff>
      <xdr:row>43</xdr:row>
      <xdr:rowOff>164880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1481760</xdr:colOff>
      <xdr:row>11</xdr:row>
      <xdr:rowOff>169560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243360</xdr:colOff>
      <xdr:row>26</xdr:row>
      <xdr:rowOff>170280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238680</xdr:colOff>
      <xdr:row>43</xdr:row>
      <xdr:rowOff>164880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238680</xdr:colOff>
      <xdr:row>11</xdr:row>
      <xdr:rowOff>164880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1481760</xdr:colOff>
      <xdr:row>27</xdr:row>
      <xdr:rowOff>165600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1477080</xdr:colOff>
      <xdr:row>42</xdr:row>
      <xdr:rowOff>164880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1481760</xdr:colOff>
      <xdr:row>12</xdr:row>
      <xdr:rowOff>164880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1481760</xdr:colOff>
      <xdr:row>28</xdr:row>
      <xdr:rowOff>170280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243360</xdr:colOff>
      <xdr:row>44</xdr:row>
      <xdr:rowOff>165600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243360</xdr:colOff>
      <xdr:row>12</xdr:row>
      <xdr:rowOff>169560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1477080</xdr:colOff>
      <xdr:row>45</xdr:row>
      <xdr:rowOff>170280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238680</xdr:colOff>
      <xdr:row>29</xdr:row>
      <xdr:rowOff>169560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1481760</xdr:colOff>
      <xdr:row>13</xdr:row>
      <xdr:rowOff>169560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237960</xdr:colOff>
      <xdr:row>28</xdr:row>
      <xdr:rowOff>164880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242280</xdr:colOff>
      <xdr:row>45</xdr:row>
      <xdr:rowOff>164880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237960</xdr:colOff>
      <xdr:row>13</xdr:row>
      <xdr:rowOff>168480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1480680</xdr:colOff>
      <xdr:row>29</xdr:row>
      <xdr:rowOff>168480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1476360</xdr:colOff>
      <xdr:row>44</xdr:row>
      <xdr:rowOff>164880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1478160</xdr:colOff>
      <xdr:row>14</xdr:row>
      <xdr:rowOff>171360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1482840</xdr:colOff>
      <xdr:row>30</xdr:row>
      <xdr:rowOff>165960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239760</xdr:colOff>
      <xdr:row>46</xdr:row>
      <xdr:rowOff>166680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195120</xdr:colOff>
      <xdr:row>14</xdr:row>
      <xdr:rowOff>166680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688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190440</xdr:colOff>
      <xdr:row>31</xdr:row>
      <xdr:rowOff>165960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688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1438200</xdr:colOff>
      <xdr:row>47</xdr:row>
      <xdr:rowOff>165960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688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1478160</xdr:colOff>
      <xdr:row>15</xdr:row>
      <xdr:rowOff>166680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239760</xdr:colOff>
      <xdr:row>30</xdr:row>
      <xdr:rowOff>165960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239760</xdr:colOff>
      <xdr:row>47</xdr:row>
      <xdr:rowOff>165960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239760</xdr:colOff>
      <xdr:row>15</xdr:row>
      <xdr:rowOff>166680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1482840</xdr:colOff>
      <xdr:row>31</xdr:row>
      <xdr:rowOff>165960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1478160</xdr:colOff>
      <xdr:row>46</xdr:row>
      <xdr:rowOff>166680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1478160</xdr:colOff>
      <xdr:row>16</xdr:row>
      <xdr:rowOff>166680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1478160</xdr:colOff>
      <xdr:row>32</xdr:row>
      <xdr:rowOff>166680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239760</xdr:colOff>
      <xdr:row>48</xdr:row>
      <xdr:rowOff>165960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239760</xdr:colOff>
      <xdr:row>16</xdr:row>
      <xdr:rowOff>171360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239760</xdr:colOff>
      <xdr:row>33</xdr:row>
      <xdr:rowOff>166680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1482840</xdr:colOff>
      <xdr:row>49</xdr:row>
      <xdr:rowOff>165960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1478160</xdr:colOff>
      <xdr:row>17</xdr:row>
      <xdr:rowOff>165960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239760</xdr:colOff>
      <xdr:row>32</xdr:row>
      <xdr:rowOff>166680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239760</xdr:colOff>
      <xdr:row>49</xdr:row>
      <xdr:rowOff>165960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239760</xdr:colOff>
      <xdr:row>17</xdr:row>
      <xdr:rowOff>165960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1478160</xdr:colOff>
      <xdr:row>33</xdr:row>
      <xdr:rowOff>166680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1478160</xdr:colOff>
      <xdr:row>48</xdr:row>
      <xdr:rowOff>165960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1460880</xdr:colOff>
      <xdr:row>18</xdr:row>
      <xdr:rowOff>165960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424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1460880</xdr:colOff>
      <xdr:row>34</xdr:row>
      <xdr:rowOff>166680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424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213120</xdr:colOff>
      <xdr:row>50</xdr:row>
      <xdr:rowOff>166680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424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239760</xdr:colOff>
      <xdr:row>18</xdr:row>
      <xdr:rowOff>165960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244440</xdr:colOff>
      <xdr:row>35</xdr:row>
      <xdr:rowOff>165960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1478160</xdr:colOff>
      <xdr:row>51</xdr:row>
      <xdr:rowOff>166680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1478160</xdr:colOff>
      <xdr:row>19</xdr:row>
      <xdr:rowOff>165960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239760</xdr:colOff>
      <xdr:row>34</xdr:row>
      <xdr:rowOff>166680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239760</xdr:colOff>
      <xdr:row>51</xdr:row>
      <xdr:rowOff>166680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1478160</xdr:colOff>
      <xdr:row>20</xdr:row>
      <xdr:rowOff>166680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1482840</xdr:colOff>
      <xdr:row>36</xdr:row>
      <xdr:rowOff>165960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239760</xdr:colOff>
      <xdr:row>52</xdr:row>
      <xdr:rowOff>166680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244440</xdr:colOff>
      <xdr:row>20</xdr:row>
      <xdr:rowOff>171360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244440</xdr:colOff>
      <xdr:row>37</xdr:row>
      <xdr:rowOff>165960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1478160</xdr:colOff>
      <xdr:row>53</xdr:row>
      <xdr:rowOff>165960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1482840</xdr:colOff>
      <xdr:row>21</xdr:row>
      <xdr:rowOff>171360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244440</xdr:colOff>
      <xdr:row>36</xdr:row>
      <xdr:rowOff>170640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239760</xdr:colOff>
      <xdr:row>53</xdr:row>
      <xdr:rowOff>165960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239760</xdr:colOff>
      <xdr:row>21</xdr:row>
      <xdr:rowOff>166680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1482840</xdr:colOff>
      <xdr:row>37</xdr:row>
      <xdr:rowOff>165960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1482840</xdr:colOff>
      <xdr:row>52</xdr:row>
      <xdr:rowOff>166680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244440</xdr:colOff>
      <xdr:row>19</xdr:row>
      <xdr:rowOff>170640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1482840</xdr:colOff>
      <xdr:row>35</xdr:row>
      <xdr:rowOff>165960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19960" cy="1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1478160</xdr:colOff>
      <xdr:row>50</xdr:row>
      <xdr:rowOff>166680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19960" cy="14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Z24" activeCellId="0" sqref="AZ24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 t="n">
        <v>2</v>
      </c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 t="n">
        <v>1</v>
      </c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Uruguay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Francia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 t="n">
        <v>4</v>
      </c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 t="n">
        <v>3</v>
      </c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 t="n">
        <v>2</v>
      </c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 t="n">
        <v>0</v>
      </c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Brasil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Bélgica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Bélgica</v>
      </c>
      <c r="BA22" s="80" t="n">
        <v>3</v>
      </c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Japón</v>
      </c>
      <c r="BA23" s="83" t="n">
        <v>2</v>
      </c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 t="n">
        <v>1</v>
      </c>
      <c r="BB26" s="81" t="n">
        <v>3</v>
      </c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 t="n">
        <v>1</v>
      </c>
      <c r="BB27" s="84" t="n">
        <v>4</v>
      </c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Rusia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Croacia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 t="n">
        <v>1</v>
      </c>
      <c r="BB30" s="81" t="n">
        <v>4</v>
      </c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 t="n">
        <v>1</v>
      </c>
      <c r="BB31" s="84" t="n">
        <v>3</v>
      </c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Colombia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Inglaterra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2</v>
      </c>
      <c r="AH44" s="40" t="n">
        <f aca="false">(AF44-AG44)*100+AK44*10000+AF44</f>
        <v>90709</v>
      </c>
      <c r="AI44" s="40" t="n">
        <f aca="false">AF44-AG44</f>
        <v>7</v>
      </c>
      <c r="AJ44" s="40" t="n">
        <f aca="false">(AI44-AI49)/AI48</f>
        <v>0.941176470588235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1005.36830955882</v>
      </c>
      <c r="AO44" s="43" t="str">
        <f aca="false">IF(SUM(AC44:AE47)=12,J45,INDEX(T,82,lang))</f>
        <v>Bélgica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3</v>
      </c>
      <c r="L45" s="72" t="n">
        <f aca="false">VLOOKUP(1,AA44:AK47,3,0)</f>
        <v>3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9 - 2</v>
      </c>
      <c r="P45" s="73" t="n">
        <f aca="false">L45*3+M45</f>
        <v>9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3</v>
      </c>
      <c r="AF45" s="40" t="n">
        <f aca="false">SUMIF($E$7:$E$54,$AB45,$F$7:$F$54) + SUMIF($H$7:$H$54,$AB45,$G$7:$G$54)</f>
        <v>2</v>
      </c>
      <c r="AG45" s="40" t="n">
        <f aca="false">SUMIF($E$7:$E$54,$AB45,$G$7:$G$54) + SUMIF($H$7:$H$54,$AB45,$F$7:$F$54)</f>
        <v>11</v>
      </c>
      <c r="AH45" s="40" t="n">
        <f aca="false">(AF45-AG45)*100+AK45*10000+AF45</f>
        <v>-898</v>
      </c>
      <c r="AI45" s="40" t="n">
        <f aca="false">AF45-AG45</f>
        <v>-9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2.5003105</v>
      </c>
      <c r="AO45" s="43" t="str">
        <f aca="false">IF(SUM(AC44:AE47)=12,J46,INDEX(T,83,lang))</f>
        <v>Inglaterra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3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1</v>
      </c>
      <c r="O46" s="76" t="str">
        <f aca="false">VLOOKUP(2,AA44:AK47,6,0) &amp; " - " &amp; VLOOKUP(2,AA44:AK47,7,0)</f>
        <v>8 - 3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1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8</v>
      </c>
      <c r="AH46" s="40" t="n">
        <f aca="false">(AF46-AG46)*100+AK46*10000+AF46</f>
        <v>29705</v>
      </c>
      <c r="AI46" s="40" t="n">
        <f aca="false">AF46-AG46</f>
        <v>-3</v>
      </c>
      <c r="AJ46" s="40" t="n">
        <f aca="false">(AI46-AI49)/AI48</f>
        <v>0.352941176470588</v>
      </c>
      <c r="AK46" s="40" t="n">
        <f aca="false">AC46*3+AD46</f>
        <v>3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341.544536647059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3</v>
      </c>
      <c r="L47" s="76" t="n">
        <f aca="false">VLOOKUP(3,AA44:AK47,3,0)</f>
        <v>1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5 - 8</v>
      </c>
      <c r="P47" s="77" t="n">
        <f aca="false">L47*3+M47</f>
        <v>3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3</v>
      </c>
      <c r="AH47" s="40" t="n">
        <f aca="false">(AF47-AG47)*100+AK47*10000+AF47</f>
        <v>60508</v>
      </c>
      <c r="AI47" s="40" t="n">
        <f aca="false">AF47-AG47</f>
        <v>5</v>
      </c>
      <c r="AJ47" s="40" t="n">
        <f aca="false">(AI47-AI49)/AI48</f>
        <v>0.823529411764706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692.353464676471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3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3</v>
      </c>
      <c r="O48" s="88" t="str">
        <f aca="false">VLOOKUP(4,AA44:AK47,6,0) &amp; " - " &amp; VLOOKUP(4,AA44:AK47,7,0)</f>
        <v>2 - 11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4</v>
      </c>
      <c r="AD48" s="40" t="n">
        <f aca="false">MAX(AD44:AD47)-MIN(AD44:AD47)+1</f>
        <v>1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10</v>
      </c>
      <c r="AH48" s="40" t="n">
        <f aca="false">MAX(AH44:AH47)-AH49+1</f>
        <v>91608</v>
      </c>
      <c r="AI48" s="40" t="n">
        <f aca="false">MAX(AI44:AI47)-AI49+1</f>
        <v>17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-898</v>
      </c>
      <c r="AI49" s="40" t="n">
        <f aca="false">MIN(AI44:AI47)</f>
        <v>-9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1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2</v>
      </c>
      <c r="AG50" s="40" t="n">
        <f aca="false">SUMIF($E$7:$E$54,$AB50,$G$7:$G$54) + SUMIF($H$7:$H$54,$AB50,$F$7:$F$54)</f>
        <v>6</v>
      </c>
      <c r="AH50" s="40" t="n">
        <f aca="false">(AF50-AG50)*100+AK50*10000+AF50</f>
        <v>9602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1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171.667271166667</v>
      </c>
      <c r="AO50" s="43" t="str">
        <f aca="false">IF(SUM(AC50:AE53)=12,J51,INDEX(T,84,lang))</f>
        <v>Colombia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 t="n">
        <v>0</v>
      </c>
      <c r="G51" s="65" t="n">
        <v>1</v>
      </c>
      <c r="H51" s="66" t="str">
        <f aca="false">AB44</f>
        <v>Bélgica</v>
      </c>
      <c r="J51" s="71" t="str">
        <f aca="false">VLOOKUP(1,AA50:AK53,2,0)</f>
        <v>Colombia</v>
      </c>
      <c r="K51" s="72" t="n">
        <f aca="false">L51+M51+N51</f>
        <v>3</v>
      </c>
      <c r="L51" s="72" t="n">
        <f aca="false">VLOOKUP(1,AA50:AK53,3,0)</f>
        <v>2</v>
      </c>
      <c r="M51" s="72" t="n">
        <f aca="false">VLOOKUP(1,AA50:AK53,4,0)</f>
        <v>0</v>
      </c>
      <c r="N51" s="72" t="n">
        <f aca="false">VLOOKUP(1,AA50:AK53,5,0)</f>
        <v>1</v>
      </c>
      <c r="O51" s="72" t="str">
        <f aca="false">VLOOKUP(1,AA50:AK53,6,0) &amp; " - " &amp; VLOOKUP(1,AA50:AK53,7,0)</f>
        <v>5 - 2</v>
      </c>
      <c r="P51" s="73" t="n">
        <f aca="false">L51*3+M51</f>
        <v>6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>Inglaterra_lose</v>
      </c>
      <c r="T51" s="41" t="str">
        <f aca="false">IF(S51="","",IF(F51&lt;G51,H51&amp;"_win",IF(F51&gt;G51,H51&amp;"_lose",H51&amp;"_draw")))</f>
        <v>Bélgica_win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3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4</v>
      </c>
      <c r="AH51" s="40" t="n">
        <f aca="false">(AF51-AG51)*100+AK51*10000+AF51</f>
        <v>40004</v>
      </c>
      <c r="AI51" s="40" t="n">
        <f aca="false">AF51-AG51</f>
        <v>0</v>
      </c>
      <c r="AJ51" s="40" t="n">
        <f aca="false">(AI51-AI55)/AI54</f>
        <v>0.5</v>
      </c>
      <c r="AK51" s="40" t="n">
        <f aca="false">AC51*3+AD51</f>
        <v>4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726.667108666667</v>
      </c>
      <c r="AO51" s="43" t="str">
        <f aca="false">IF(SUM(AC50:AE53)=12,J52,INDEX(T,85,lang))</f>
        <v>Japón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 t="n">
        <v>1</v>
      </c>
      <c r="G52" s="65" t="n">
        <v>2</v>
      </c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3</v>
      </c>
      <c r="L52" s="76" t="n">
        <f aca="false">VLOOKUP(2,AA50:AK53,3,0)</f>
        <v>1</v>
      </c>
      <c r="M52" s="76" t="n">
        <f aca="false">VLOOKUP(2,AA50:AK53,4,0)</f>
        <v>2</v>
      </c>
      <c r="N52" s="76" t="n">
        <f aca="false">VLOOKUP(2,AA50:AK53,5,0)</f>
        <v>0</v>
      </c>
      <c r="O52" s="76" t="str">
        <f aca="false">VLOOKUP(2,AA50:AK53,6,0) &amp; " - " &amp; VLOOKUP(2,AA50:AK53,7,0)</f>
        <v>5 - 4</v>
      </c>
      <c r="P52" s="77" t="n">
        <f aca="false">L52*3+M52</f>
        <v>5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>Panamá_lose</v>
      </c>
      <c r="T52" s="41" t="str">
        <f aca="false">IF(S52="","",IF(F52&lt;G52,H52&amp;"_win",IF(F52&gt;G52,H52&amp;"_lose",H52&amp;"_draw")))</f>
        <v>Túnez_win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1</v>
      </c>
      <c r="AB52" s="42" t="str">
        <f aca="false">VLOOKUP("Colombia",T,lang,0)</f>
        <v>Colombia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2</v>
      </c>
      <c r="AH52" s="40" t="n">
        <f aca="false">(AF52-AG52)*100+AK52*10000+AF52</f>
        <v>60305</v>
      </c>
      <c r="AI52" s="40" t="n">
        <f aca="false">AF52-AG52</f>
        <v>3</v>
      </c>
      <c r="AJ52" s="40" t="n">
        <f aca="false">(AI52-AI55)/AI54</f>
        <v>0.875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1100.000539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 t="n">
        <v>1</v>
      </c>
      <c r="G53" s="65" t="n">
        <v>1</v>
      </c>
      <c r="H53" s="66" t="str">
        <f aca="false">AB50</f>
        <v>Polonia</v>
      </c>
      <c r="J53" s="75" t="str">
        <f aca="false">VLOOKUP(3,AA50:AK53,2,0)</f>
        <v>Senegal</v>
      </c>
      <c r="K53" s="76" t="n">
        <f aca="false">L53+M53+N53</f>
        <v>3</v>
      </c>
      <c r="L53" s="76" t="n">
        <f aca="false">VLOOKUP(3,AA50:AK53,3,0)</f>
        <v>1</v>
      </c>
      <c r="M53" s="76" t="n">
        <f aca="false">VLOOKUP(3,AA50:AK53,4,0)</f>
        <v>1</v>
      </c>
      <c r="N53" s="76" t="n">
        <f aca="false">VLOOKUP(3,AA50:AK53,5,0)</f>
        <v>1</v>
      </c>
      <c r="O53" s="76" t="str">
        <f aca="false">VLOOKUP(3,AA50:AK53,6,0) &amp; " - " &amp; VLOOKUP(3,AA50:AK53,7,0)</f>
        <v>4 - 4</v>
      </c>
      <c r="P53" s="77" t="n">
        <f aca="false">L53*3+M53</f>
        <v>4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>Japón_draw</v>
      </c>
      <c r="T53" s="41" t="str">
        <f aca="false">IF(S53="","",IF(F53&lt;G53,H53&amp;"_win",IF(F53&gt;G53,H53&amp;"_lose",H53&amp;"_draw")))</f>
        <v>Polonia_draw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2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5</v>
      </c>
      <c r="AG53" s="40" t="n">
        <f aca="false">SUMIF($E$7:$E$54,$AB53,$G$7:$G$54) + SUMIF($H$7:$H$54,$AB53,$F$7:$F$54)</f>
        <v>4</v>
      </c>
      <c r="AH53" s="40" t="n">
        <f aca="false">(AF53-AG53)*100+AK53*10000+AF53</f>
        <v>50105</v>
      </c>
      <c r="AI53" s="40" t="n">
        <f aca="false">AF53-AG53</f>
        <v>1</v>
      </c>
      <c r="AJ53" s="40" t="n">
        <f aca="false">(AI53-AI55)/AI54</f>
        <v>0.625</v>
      </c>
      <c r="AK53" s="40" t="n">
        <f aca="false">AC53*3+AD53</f>
        <v>5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908.333633333333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 t="n">
        <v>0</v>
      </c>
      <c r="G54" s="84" t="n">
        <v>1</v>
      </c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3</v>
      </c>
      <c r="L54" s="88" t="n">
        <f aca="false">VLOOKUP(4,AA50:AK53,3,0)</f>
        <v>0</v>
      </c>
      <c r="M54" s="88" t="n">
        <f aca="false">VLOOKUP(4,AA50:AK53,4,0)</f>
        <v>1</v>
      </c>
      <c r="N54" s="88" t="n">
        <f aca="false">VLOOKUP(4,AA50:AK53,5,0)</f>
        <v>2</v>
      </c>
      <c r="O54" s="88" t="str">
        <f aca="false">VLOOKUP(4,AA50:AK53,6,0) &amp; " - " &amp; VLOOKUP(4,AA50:AK53,7,0)</f>
        <v>2 - 6</v>
      </c>
      <c r="P54" s="89" t="n">
        <f aca="false">L54*3+M54</f>
        <v>1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>Senegal_lose</v>
      </c>
      <c r="T54" s="41" t="str">
        <f aca="false">IF(S54="","",IF(F54&lt;G54,H54&amp;"_win",IF(F54&gt;G54,H54&amp;"_lose",H54&amp;"_draw")))</f>
        <v>Colombia_win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3</v>
      </c>
      <c r="AD54" s="40" t="n">
        <f aca="false">MAX(AD50:AD53)-MIN(AD50:AD53)+1</f>
        <v>3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5</v>
      </c>
      <c r="AH54" s="40" t="n">
        <f aca="false">MAX(AH50:AH53)-AH55+1</f>
        <v>50704</v>
      </c>
      <c r="AI54" s="40" t="n">
        <f aca="false">MAX(AI50:AI53)-AI55+1</f>
        <v>8</v>
      </c>
      <c r="AK54" s="40" t="n">
        <f aca="false">MAX(AK50:AK53)-MIN(AK50:AK53)+1</f>
        <v>6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9602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>Uruguay</v>
      </c>
      <c r="T58" s="41" t="str">
        <f aca="false">IF(OR(S58="",S58="draw"),INDEX(T,86,lang),S58)</f>
        <v>Uruguay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>Francia</v>
      </c>
      <c r="T59" s="41" t="str">
        <f aca="false">IF(OR(S59="",S59="draw"),INDEX(T,87,lang),S59)</f>
        <v>Francia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>Rusia</v>
      </c>
      <c r="T60" s="41" t="str">
        <f aca="false">IF(OR(S60="",S60="draw"),INDEX(T,88,lang),S60)</f>
        <v>Rusia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>Croacia</v>
      </c>
      <c r="T61" s="41" t="str">
        <f aca="false">IF(OR(S61="",S61="draw"),INDEX(T,89,lang),S61)</f>
        <v>Croacia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>Brasil</v>
      </c>
      <c r="T62" s="41" t="str">
        <f aca="false">IF(OR(S62="",S62="draw"),INDEX(T,90,lang),S62)</f>
        <v>Brasil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>Bélgica</v>
      </c>
      <c r="T63" s="41" t="str">
        <f aca="false">IF(OR(S63="",S63="draw"),INDEX(T,91,lang),S63)</f>
        <v>Bélgica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2018-07-02T15:57:47Z</dcterms:modified>
  <cp:revision>32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