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96.png" ContentType="image/png"/>
  <Override PartName="/xl/media/image95.png" ContentType="image/png"/>
  <Override PartName="/xl/media/image94.png" ContentType="image/png"/>
  <Override PartName="/xl/media/image93.png" ContentType="image/png"/>
  <Override PartName="/xl/media/image92.png" ContentType="image/png"/>
  <Override PartName="/xl/media/image91.png" ContentType="image/png"/>
  <Override PartName="/xl/media/image90.png" ContentType="image/png"/>
  <Override PartName="/xl/media/image81.png" ContentType="image/png"/>
  <Override PartName="/xl/media/image80.png" ContentType="image/png"/>
  <Override PartName="/xl/media/image79.png" ContentType="image/png"/>
  <Override PartName="/xl/media/image87.png" ContentType="image/png"/>
  <Override PartName="/xl/media/image6.png" ContentType="image/png"/>
  <Override PartName="/xl/media/image61.png" ContentType="image/png"/>
  <Override PartName="/xl/media/image86.png" ContentType="image/png"/>
  <Override PartName="/xl/media/image5.png" ContentType="image/png"/>
  <Override PartName="/xl/media/image60.png" ContentType="image/png"/>
  <Override PartName="/xl/media/image85.png" ContentType="image/png"/>
  <Override PartName="/xl/media/image4.png" ContentType="image/png"/>
  <Override PartName="/xl/media/image84.png" ContentType="image/png"/>
  <Override PartName="/xl/media/image3.png" ContentType="image/png"/>
  <Override PartName="/xl/media/image82.png" ContentType="image/png"/>
  <Override PartName="/xl/media/image1.png" ContentType="image/png"/>
  <Override PartName="/xl/media/image83.png" ContentType="image/png"/>
  <Override PartName="/xl/media/image2.png" ContentType="image/png"/>
  <Override PartName="/xl/media/image88.png" ContentType="image/png"/>
  <Override PartName="/xl/media/image7.png" ContentType="image/png"/>
  <Override PartName="/xl/media/image62.png" ContentType="image/png"/>
  <Override PartName="/xl/media/image89.png" ContentType="image/png"/>
  <Override PartName="/xl/media/image8.png" ContentType="image/png"/>
  <Override PartName="/xl/media/image63.png" ContentType="image/png"/>
  <Override PartName="/xl/media/image9.png" ContentType="image/png"/>
  <Override PartName="/xl/media/image64.png" ContentType="image/png"/>
  <Override PartName="/xl/media/image36.png" ContentType="image/png"/>
  <Override PartName="/xl/media/image11.png" ContentType="image/png"/>
  <Override PartName="/xl/media/image35.png" ContentType="image/png"/>
  <Override PartName="/xl/media/image10.png" ContentType="image/png"/>
  <Override PartName="/xl/media/image34.png" ContentType="image/png"/>
  <Override PartName="/xl/media/image59.png" ContentType="image/png"/>
  <Override PartName="/xl/media/image33.png" ContentType="image/png"/>
  <Override PartName="/xl/media/image58.png" ContentType="image/png"/>
  <Override PartName="/xl/media/image32.png" ContentType="image/png"/>
  <Override PartName="/xl/media/image57.png" ContentType="image/png"/>
  <Override PartName="/xl/media/image31.png" ContentType="image/png"/>
  <Override PartName="/xl/media/image56.png" ContentType="image/png"/>
  <Override PartName="/xl/media/image30.png" ContentType="image/png"/>
  <Override PartName="/xl/media/image55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49.png" ContentType="image/png"/>
  <Override PartName="/xl/media/image23.png" ContentType="image/png"/>
  <Override PartName="/xl/media/image48.png" ContentType="image/png"/>
  <Override PartName="/xl/media/image22.png" ContentType="image/png"/>
  <Override PartName="/xl/media/image47.png" ContentType="image/png"/>
  <Override PartName="/xl/media/image21.png" ContentType="image/png"/>
  <Override PartName="/xl/media/image46.png" ContentType="image/png"/>
  <Override PartName="/xl/media/image20.png" ContentType="image/png"/>
  <Override PartName="/xl/media/image45.png" ContentType="image/png"/>
  <Override PartName="/xl/media/image19.png" ContentType="image/png"/>
  <Override PartName="/xl/media/image18.png" ContentType="image/png"/>
  <Override PartName="/xl/media/image17.png" ContentType="image/png"/>
  <Override PartName="/xl/media/image15.png" ContentType="image/png"/>
  <Override PartName="/xl/media/image16.png" ContentType="image/png"/>
  <Override PartName="/xl/media/image12.png" ContentType="image/png"/>
  <Override PartName="/xl/media/image37.png" ContentType="image/png"/>
  <Override PartName="/xl/media/image13.png" ContentType="image/png"/>
  <Override PartName="/xl/media/image38.png" ContentType="image/png"/>
  <Override PartName="/xl/media/image14.png" ContentType="image/png"/>
  <Override PartName="/xl/media/image39.png" ContentType="image/png"/>
  <Override PartName="/xl/media/image40.png" ContentType="image/png"/>
  <Override PartName="/xl/media/image65.png" ContentType="image/png"/>
  <Override PartName="/xl/media/image41.png" ContentType="image/png"/>
  <Override PartName="/xl/media/image66.png" ContentType="image/png"/>
  <Override PartName="/xl/media/image42.png" ContentType="image/png"/>
  <Override PartName="/xl/media/image67.png" ContentType="image/png"/>
  <Override PartName="/xl/media/image43.png" ContentType="image/png"/>
  <Override PartName="/xl/media/image68.png" ContentType="image/png"/>
  <Override PartName="/xl/media/image44.png" ContentType="image/png"/>
  <Override PartName="/xl/media/image69.png" ContentType="image/png"/>
  <Override PartName="/xl/media/image50.png" ContentType="image/png"/>
  <Override PartName="/xl/media/image75.png" ContentType="image/png"/>
  <Override PartName="/xl/media/image51.png" ContentType="image/png"/>
  <Override PartName="/xl/media/image76.png" ContentType="image/png"/>
  <Override PartName="/xl/media/image52.png" ContentType="image/png"/>
  <Override PartName="/xl/media/image77.png" ContentType="image/png"/>
  <Override PartName="/xl/media/image53.png" ContentType="image/png"/>
  <Override PartName="/xl/media/image78.png" ContentType="image/png"/>
  <Override PartName="/xl/media/image54.png" ContentType="image/png"/>
  <Override PartName="/xl/media/image70.png" ContentType="image/png"/>
  <Override PartName="/xl/media/image71.png" ContentType="image/png"/>
  <Override PartName="/xl/media/image72.png" ContentType="image/png"/>
  <Override PartName="/xl/media/image73.png" ContentType="image/png"/>
  <Override PartName="/xl/media/image7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<sst xmlns="http://schemas.openxmlformats.org/spreadsheetml/2006/main" count="4451" uniqueCount="2560">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</sst>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<Relationship Id="rId44" Type="http://schemas.openxmlformats.org/officeDocument/2006/relationships/image" Target="../media/image44.png"/><Relationship Id="rId45" Type="http://schemas.openxmlformats.org/officeDocument/2006/relationships/image" Target="../media/image45.png"/><Relationship Id="rId46" Type="http://schemas.openxmlformats.org/officeDocument/2006/relationships/image" Target="../media/image46.png"/><Relationship Id="rId47" Type="http://schemas.openxmlformats.org/officeDocument/2006/relationships/image" Target="../media/image47.png"/><Relationship Id="rId48" Type="http://schemas.openxmlformats.org/officeDocument/2006/relationships/image" Target="../media/image48.png"/><Relationship Id="rId49" Type="http://schemas.openxmlformats.org/officeDocument/2006/relationships/image" Target="../media/image49.png"/><Relationship Id="rId50" Type="http://schemas.openxmlformats.org/officeDocument/2006/relationships/image" Target="../media/image50.png"/><Relationship Id="rId51" Type="http://schemas.openxmlformats.org/officeDocument/2006/relationships/image" Target="../media/image51.png"/><Relationship Id="rId52" Type="http://schemas.openxmlformats.org/officeDocument/2006/relationships/image" Target="../media/image52.png"/><Relationship Id="rId53" Type="http://schemas.openxmlformats.org/officeDocument/2006/relationships/image" Target="../media/image53.png"/><Relationship Id="rId54" Type="http://schemas.openxmlformats.org/officeDocument/2006/relationships/image" Target="../media/image54.png"/><Relationship Id="rId55" Type="http://schemas.openxmlformats.org/officeDocument/2006/relationships/image" Target="../media/image55.png"/><Relationship Id="rId56" Type="http://schemas.openxmlformats.org/officeDocument/2006/relationships/image" Target="../media/image56.png"/><Relationship Id="rId57" Type="http://schemas.openxmlformats.org/officeDocument/2006/relationships/image" Target="../media/image57.png"/><Relationship Id="rId58" Type="http://schemas.openxmlformats.org/officeDocument/2006/relationships/image" Target="../media/image58.png"/><Relationship Id="rId59" Type="http://schemas.openxmlformats.org/officeDocument/2006/relationships/image" Target="../media/image59.png"/><Relationship Id="rId60" Type="http://schemas.openxmlformats.org/officeDocument/2006/relationships/image" Target="../media/image60.png"/><Relationship Id="rId61" Type="http://schemas.openxmlformats.org/officeDocument/2006/relationships/image" Target="../media/image61.png"/><Relationship Id="rId62" Type="http://schemas.openxmlformats.org/officeDocument/2006/relationships/image" Target="../media/image62.png"/><Relationship Id="rId63" Type="http://schemas.openxmlformats.org/officeDocument/2006/relationships/image" Target="../media/image63.png"/><Relationship Id="rId64" Type="http://schemas.openxmlformats.org/officeDocument/2006/relationships/image" Target="../media/image64.png"/><Relationship Id="rId65" Type="http://schemas.openxmlformats.org/officeDocument/2006/relationships/image" Target="../media/image65.png"/><Relationship Id="rId66" Type="http://schemas.openxmlformats.org/officeDocument/2006/relationships/image" Target="../media/image66.png"/><Relationship Id="rId67" Type="http://schemas.openxmlformats.org/officeDocument/2006/relationships/image" Target="../media/image67.png"/><Relationship Id="rId68" Type="http://schemas.openxmlformats.org/officeDocument/2006/relationships/image" Target="../media/image68.png"/><Relationship Id="rId69" Type="http://schemas.openxmlformats.org/officeDocument/2006/relationships/image" Target="../media/image69.png"/><Relationship Id="rId70" Type="http://schemas.openxmlformats.org/officeDocument/2006/relationships/image" Target="../media/image70.png"/><Relationship Id="rId71" Type="http://schemas.openxmlformats.org/officeDocument/2006/relationships/image" Target="../media/image71.png"/><Relationship Id="rId72" Type="http://schemas.openxmlformats.org/officeDocument/2006/relationships/image" Target="../media/image72.png"/><Relationship Id="rId73" Type="http://schemas.openxmlformats.org/officeDocument/2006/relationships/image" Target="../media/image73.png"/><Relationship Id="rId74" Type="http://schemas.openxmlformats.org/officeDocument/2006/relationships/image" Target="../media/image74.png"/><Relationship Id="rId75" Type="http://schemas.openxmlformats.org/officeDocument/2006/relationships/image" Target="../media/image75.png"/><Relationship Id="rId76" Type="http://schemas.openxmlformats.org/officeDocument/2006/relationships/image" Target="../media/image76.png"/><Relationship Id="rId77" Type="http://schemas.openxmlformats.org/officeDocument/2006/relationships/image" Target="../media/image77.png"/><Relationship Id="rId78" Type="http://schemas.openxmlformats.org/officeDocument/2006/relationships/image" Target="../media/image78.png"/><Relationship Id="rId79" Type="http://schemas.openxmlformats.org/officeDocument/2006/relationships/image" Target="../media/image79.png"/><Relationship Id="rId80" Type="http://schemas.openxmlformats.org/officeDocument/2006/relationships/image" Target="../media/image80.png"/><Relationship Id="rId81" Type="http://schemas.openxmlformats.org/officeDocument/2006/relationships/image" Target="../media/image81.png"/><Relationship Id="rId82" Type="http://schemas.openxmlformats.org/officeDocument/2006/relationships/image" Target="../media/image82.png"/><Relationship Id="rId83" Type="http://schemas.openxmlformats.org/officeDocument/2006/relationships/image" Target="../media/image83.png"/><Relationship Id="rId84" Type="http://schemas.openxmlformats.org/officeDocument/2006/relationships/image" Target="../media/image84.png"/><Relationship Id="rId85" Type="http://schemas.openxmlformats.org/officeDocument/2006/relationships/image" Target="../media/image85.png"/><Relationship Id="rId86" Type="http://schemas.openxmlformats.org/officeDocument/2006/relationships/image" Target="../media/image86.png"/><Relationship Id="rId87" Type="http://schemas.openxmlformats.org/officeDocument/2006/relationships/image" Target="../media/image87.png"/><Relationship Id="rId88" Type="http://schemas.openxmlformats.org/officeDocument/2006/relationships/image" Target="../media/image88.png"/><Relationship Id="rId89" Type="http://schemas.openxmlformats.org/officeDocument/2006/relationships/image" Target="../media/image89.png"/><Relationship Id="rId90" Type="http://schemas.openxmlformats.org/officeDocument/2006/relationships/image" Target="../media/image90.png"/><Relationship Id="rId91" Type="http://schemas.openxmlformats.org/officeDocument/2006/relationships/image" Target="../media/image91.png"/><Relationship Id="rId92" Type="http://schemas.openxmlformats.org/officeDocument/2006/relationships/image" Target="../media/image92.png"/><Relationship Id="rId93" Type="http://schemas.openxmlformats.org/officeDocument/2006/relationships/image" Target="../media/image93.png"/><Relationship Id="rId94" Type="http://schemas.openxmlformats.org/officeDocument/2006/relationships/image" Target="../media/image94.png"/><Relationship Id="rId95" Type="http://schemas.openxmlformats.org/officeDocument/2006/relationships/image" Target="../media/image95.png"/><Relationship Id="rId96" Type="http://schemas.openxmlformats.org/officeDocument/2006/relationships/image" Target="../media/image9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1485720</xdr:colOff>
      <xdr:row>6</xdr:row>
      <xdr:rowOff>169200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39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1485720</xdr:colOff>
      <xdr:row>22</xdr:row>
      <xdr:rowOff>165240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39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247320</xdr:colOff>
      <xdr:row>38</xdr:row>
      <xdr:rowOff>165240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3920" cy="146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244440</xdr:colOff>
      <xdr:row>6</xdr:row>
      <xdr:rowOff>170640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244440</xdr:colOff>
      <xdr:row>23</xdr:row>
      <xdr:rowOff>170640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1482840</xdr:colOff>
      <xdr:row>39</xdr:row>
      <xdr:rowOff>171360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1482840</xdr:colOff>
      <xdr:row>7</xdr:row>
      <xdr:rowOff>170640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249120</xdr:colOff>
      <xdr:row>22</xdr:row>
      <xdr:rowOff>171360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244440</xdr:colOff>
      <xdr:row>39</xdr:row>
      <xdr:rowOff>171360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239760</xdr:colOff>
      <xdr:row>7</xdr:row>
      <xdr:rowOff>179640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1482840</xdr:colOff>
      <xdr:row>23</xdr:row>
      <xdr:rowOff>184320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1482840</xdr:colOff>
      <xdr:row>38</xdr:row>
      <xdr:rowOff>176040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1482840</xdr:colOff>
      <xdr:row>8</xdr:row>
      <xdr:rowOff>171360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1482840</xdr:colOff>
      <xdr:row>24</xdr:row>
      <xdr:rowOff>170640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244440</xdr:colOff>
      <xdr:row>40</xdr:row>
      <xdr:rowOff>171360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239760</xdr:colOff>
      <xdr:row>8</xdr:row>
      <xdr:rowOff>171360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244440</xdr:colOff>
      <xdr:row>25</xdr:row>
      <xdr:rowOff>175320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1478160</xdr:colOff>
      <xdr:row>41</xdr:row>
      <xdr:rowOff>170640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239760</xdr:colOff>
      <xdr:row>41</xdr:row>
      <xdr:rowOff>175320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244440</xdr:colOff>
      <xdr:row>24</xdr:row>
      <xdr:rowOff>170640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1482840</xdr:colOff>
      <xdr:row>9</xdr:row>
      <xdr:rowOff>166680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239760</xdr:colOff>
      <xdr:row>9</xdr:row>
      <xdr:rowOff>171360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1482840</xdr:colOff>
      <xdr:row>25</xdr:row>
      <xdr:rowOff>165960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1482840</xdr:colOff>
      <xdr:row>40</xdr:row>
      <xdr:rowOff>166680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1482840</xdr:colOff>
      <xdr:row>10</xdr:row>
      <xdr:rowOff>171360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1482840</xdr:colOff>
      <xdr:row>26</xdr:row>
      <xdr:rowOff>171360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239760</xdr:colOff>
      <xdr:row>42</xdr:row>
      <xdr:rowOff>170640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239760</xdr:colOff>
      <xdr:row>10</xdr:row>
      <xdr:rowOff>171360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239760</xdr:colOff>
      <xdr:row>27</xdr:row>
      <xdr:rowOff>166680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1478160</xdr:colOff>
      <xdr:row>43</xdr:row>
      <xdr:rowOff>165960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1482840</xdr:colOff>
      <xdr:row>11</xdr:row>
      <xdr:rowOff>170640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244440</xdr:colOff>
      <xdr:row>26</xdr:row>
      <xdr:rowOff>171360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239760</xdr:colOff>
      <xdr:row>43</xdr:row>
      <xdr:rowOff>165960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239760</xdr:colOff>
      <xdr:row>11</xdr:row>
      <xdr:rowOff>165960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1482840</xdr:colOff>
      <xdr:row>27</xdr:row>
      <xdr:rowOff>166680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1478160</xdr:colOff>
      <xdr:row>42</xdr:row>
      <xdr:rowOff>165960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1482840</xdr:colOff>
      <xdr:row>12</xdr:row>
      <xdr:rowOff>165960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1482840</xdr:colOff>
      <xdr:row>28</xdr:row>
      <xdr:rowOff>171360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244440</xdr:colOff>
      <xdr:row>44</xdr:row>
      <xdr:rowOff>166680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244440</xdr:colOff>
      <xdr:row>12</xdr:row>
      <xdr:rowOff>170640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1478160</xdr:colOff>
      <xdr:row>45</xdr:row>
      <xdr:rowOff>171360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239760</xdr:colOff>
      <xdr:row>29</xdr:row>
      <xdr:rowOff>170640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1482840</xdr:colOff>
      <xdr:row>13</xdr:row>
      <xdr:rowOff>170640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239040</xdr:colOff>
      <xdr:row>28</xdr:row>
      <xdr:rowOff>165960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243360</xdr:colOff>
      <xdr:row>45</xdr:row>
      <xdr:rowOff>165960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239040</xdr:colOff>
      <xdr:row>13</xdr:row>
      <xdr:rowOff>169560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1481760</xdr:colOff>
      <xdr:row>29</xdr:row>
      <xdr:rowOff>169560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1477440</xdr:colOff>
      <xdr:row>44</xdr:row>
      <xdr:rowOff>165960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1479240</xdr:colOff>
      <xdr:row>14</xdr:row>
      <xdr:rowOff>172440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1483920</xdr:colOff>
      <xdr:row>30</xdr:row>
      <xdr:rowOff>167040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240840</xdr:colOff>
      <xdr:row>46</xdr:row>
      <xdr:rowOff>167760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196200</xdr:colOff>
      <xdr:row>14</xdr:row>
      <xdr:rowOff>167760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79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191520</xdr:colOff>
      <xdr:row>31</xdr:row>
      <xdr:rowOff>167040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79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1439280</xdr:colOff>
      <xdr:row>47</xdr:row>
      <xdr:rowOff>167040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796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1479240</xdr:colOff>
      <xdr:row>15</xdr:row>
      <xdr:rowOff>167760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240840</xdr:colOff>
      <xdr:row>30</xdr:row>
      <xdr:rowOff>167040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240840</xdr:colOff>
      <xdr:row>47</xdr:row>
      <xdr:rowOff>167040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240840</xdr:colOff>
      <xdr:row>15</xdr:row>
      <xdr:rowOff>167760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1483920</xdr:colOff>
      <xdr:row>31</xdr:row>
      <xdr:rowOff>167040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1479240</xdr:colOff>
      <xdr:row>46</xdr:row>
      <xdr:rowOff>167760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1479240</xdr:colOff>
      <xdr:row>16</xdr:row>
      <xdr:rowOff>167760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1479240</xdr:colOff>
      <xdr:row>32</xdr:row>
      <xdr:rowOff>167760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240840</xdr:colOff>
      <xdr:row>48</xdr:row>
      <xdr:rowOff>167040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240840</xdr:colOff>
      <xdr:row>16</xdr:row>
      <xdr:rowOff>172440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240840</xdr:colOff>
      <xdr:row>33</xdr:row>
      <xdr:rowOff>167760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1483920</xdr:colOff>
      <xdr:row>49</xdr:row>
      <xdr:rowOff>167040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1479240</xdr:colOff>
      <xdr:row>17</xdr:row>
      <xdr:rowOff>167040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240840</xdr:colOff>
      <xdr:row>32</xdr:row>
      <xdr:rowOff>167760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240840</xdr:colOff>
      <xdr:row>49</xdr:row>
      <xdr:rowOff>167040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240840</xdr:colOff>
      <xdr:row>17</xdr:row>
      <xdr:rowOff>167040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1479240</xdr:colOff>
      <xdr:row>33</xdr:row>
      <xdr:rowOff>167760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1479240</xdr:colOff>
      <xdr:row>48</xdr:row>
      <xdr:rowOff>167040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1461960</xdr:colOff>
      <xdr:row>18</xdr:row>
      <xdr:rowOff>167040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532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1461960</xdr:colOff>
      <xdr:row>34</xdr:row>
      <xdr:rowOff>167760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532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214200</xdr:colOff>
      <xdr:row>50</xdr:row>
      <xdr:rowOff>167760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532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240840</xdr:colOff>
      <xdr:row>18</xdr:row>
      <xdr:rowOff>167040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245520</xdr:colOff>
      <xdr:row>35</xdr:row>
      <xdr:rowOff>167040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1479240</xdr:colOff>
      <xdr:row>51</xdr:row>
      <xdr:rowOff>167760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1479240</xdr:colOff>
      <xdr:row>19</xdr:row>
      <xdr:rowOff>167040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240840</xdr:colOff>
      <xdr:row>34</xdr:row>
      <xdr:rowOff>167760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240840</xdr:colOff>
      <xdr:row>51</xdr:row>
      <xdr:rowOff>167760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1479240</xdr:colOff>
      <xdr:row>20</xdr:row>
      <xdr:rowOff>167760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1483920</xdr:colOff>
      <xdr:row>36</xdr:row>
      <xdr:rowOff>167040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240840</xdr:colOff>
      <xdr:row>52</xdr:row>
      <xdr:rowOff>167760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245520</xdr:colOff>
      <xdr:row>20</xdr:row>
      <xdr:rowOff>172440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245520</xdr:colOff>
      <xdr:row>37</xdr:row>
      <xdr:rowOff>167040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1479240</xdr:colOff>
      <xdr:row>53</xdr:row>
      <xdr:rowOff>167040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1483920</xdr:colOff>
      <xdr:row>21</xdr:row>
      <xdr:rowOff>172440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245520</xdr:colOff>
      <xdr:row>36</xdr:row>
      <xdr:rowOff>171720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240840</xdr:colOff>
      <xdr:row>53</xdr:row>
      <xdr:rowOff>167040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240840</xdr:colOff>
      <xdr:row>21</xdr:row>
      <xdr:rowOff>167760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1483920</xdr:colOff>
      <xdr:row>37</xdr:row>
      <xdr:rowOff>167040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1483920</xdr:colOff>
      <xdr:row>52</xdr:row>
      <xdr:rowOff>167760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245520</xdr:colOff>
      <xdr:row>19</xdr:row>
      <xdr:rowOff>171720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1483920</xdr:colOff>
      <xdr:row>35</xdr:row>
      <xdr:rowOff>167040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21040" cy="1479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1479240</xdr:colOff>
      <xdr:row>50</xdr:row>
      <xdr:rowOff>167760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21040" cy="147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Q10" colorId="64" zoomScale="100" zoomScaleNormal="100" zoomScalePageLayoutView="100" workbookViewId="0">
      <selection pane="topLeft" activeCell="F52" activeCellId="0" sqref="F52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Bélgica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Senegal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1</v>
      </c>
      <c r="V38" s="40" t="n">
        <f aca="false">U38*F38</f>
        <v>2</v>
      </c>
      <c r="W38" s="40" t="n">
        <f aca="false">U38*G38</f>
        <v>2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Colombia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Inglaterra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3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9</v>
      </c>
      <c r="AG44" s="40" t="n">
        <f aca="false">SUMIF($E$7:$E$54,$AB44,$G$7:$G$54) + SUMIF($H$7:$H$54,$AB44,$F$7:$F$54)</f>
        <v>2</v>
      </c>
      <c r="AH44" s="40" t="n">
        <f aca="false">(AF44-AG44)*100+AK44*10000+AF44</f>
        <v>90709</v>
      </c>
      <c r="AI44" s="40" t="n">
        <f aca="false">AF44-AG44</f>
        <v>7</v>
      </c>
      <c r="AJ44" s="40" t="n">
        <f aca="false">(AI44-AI49)/AI48</f>
        <v>0.941176470588235</v>
      </c>
      <c r="AK44" s="40" t="n">
        <f aca="false">AC44*3+AD44</f>
        <v>9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1005.36830955882</v>
      </c>
      <c r="AO44" s="43" t="str">
        <f aca="false">IF(SUM(AC44:AE47)=12,J45,INDEX(T,82,lang))</f>
        <v>Bélgica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3</v>
      </c>
      <c r="L45" s="72" t="n">
        <f aca="false">VLOOKUP(1,AA44:AK47,3,0)</f>
        <v>3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9 - 2</v>
      </c>
      <c r="P45" s="73" t="n">
        <f aca="false">L45*3+M45</f>
        <v>9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3</v>
      </c>
      <c r="AF45" s="40" t="n">
        <f aca="false">SUMIF($E$7:$E$54,$AB45,$F$7:$F$54) + SUMIF($H$7:$H$54,$AB45,$G$7:$G$54)</f>
        <v>2</v>
      </c>
      <c r="AG45" s="40" t="n">
        <f aca="false">SUMIF($E$7:$E$54,$AB45,$G$7:$G$54) + SUMIF($H$7:$H$54,$AB45,$F$7:$F$54)</f>
        <v>11</v>
      </c>
      <c r="AH45" s="40" t="n">
        <f aca="false">(AF45-AG45)*100+AK45*10000+AF45</f>
        <v>-898</v>
      </c>
      <c r="AI45" s="40" t="n">
        <f aca="false">AF45-AG45</f>
        <v>-9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2.5003105</v>
      </c>
      <c r="AO45" s="43" t="str">
        <f aca="false">IF(SUM(AC44:AE47)=12,J46,INDEX(T,83,lang))</f>
        <v>Inglaterra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3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1</v>
      </c>
      <c r="O46" s="76" t="str">
        <f aca="false">VLOOKUP(2,AA44:AK47,6,0) &amp; " - " &amp; VLOOKUP(2,AA44:AK47,7,0)</f>
        <v>8 - 3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1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5</v>
      </c>
      <c r="AG46" s="40" t="n">
        <f aca="false">SUMIF($E$7:$E$54,$AB46,$G$7:$G$54) + SUMIF($H$7:$H$54,$AB46,$F$7:$F$54)</f>
        <v>8</v>
      </c>
      <c r="AH46" s="40" t="n">
        <f aca="false">(AF46-AG46)*100+AK46*10000+AF46</f>
        <v>29705</v>
      </c>
      <c r="AI46" s="40" t="n">
        <f aca="false">AF46-AG46</f>
        <v>-3</v>
      </c>
      <c r="AJ46" s="40" t="n">
        <f aca="false">(AI46-AI49)/AI48</f>
        <v>0.352941176470588</v>
      </c>
      <c r="AK46" s="40" t="n">
        <f aca="false">AC46*3+AD46</f>
        <v>3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341.544536647059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3</v>
      </c>
      <c r="L47" s="76" t="n">
        <f aca="false">VLOOKUP(3,AA44:AK47,3,0)</f>
        <v>1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5 - 8</v>
      </c>
      <c r="P47" s="77" t="n">
        <f aca="false">L47*3+M47</f>
        <v>3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1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3</v>
      </c>
      <c r="AH47" s="40" t="n">
        <f aca="false">(AF47-AG47)*100+AK47*10000+AF47</f>
        <v>60508</v>
      </c>
      <c r="AI47" s="40" t="n">
        <f aca="false">AF47-AG47</f>
        <v>5</v>
      </c>
      <c r="AJ47" s="40" t="n">
        <f aca="false">(AI47-AI49)/AI48</f>
        <v>0.823529411764706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692.353464676471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3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3</v>
      </c>
      <c r="O48" s="88" t="str">
        <f aca="false">VLOOKUP(4,AA44:AK47,6,0) &amp; " - " &amp; VLOOKUP(4,AA44:AK47,7,0)</f>
        <v>2 - 11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4</v>
      </c>
      <c r="AD48" s="40" t="n">
        <f aca="false">MAX(AD44:AD47)-MIN(AD44:AD47)+1</f>
        <v>1</v>
      </c>
      <c r="AE48" s="40" t="n">
        <f aca="false">MAX(AE44:AE47)-MIN(AE44:AE47)+1</f>
        <v>4</v>
      </c>
      <c r="AF48" s="40" t="n">
        <f aca="false">MAX(AF44:AF47)-MIN(AF44:AF47)+1</f>
        <v>8</v>
      </c>
      <c r="AG48" s="40" t="n">
        <f aca="false">MAX(AG44:AG47)-MIN(AG44:AG47)+1</f>
        <v>10</v>
      </c>
      <c r="AH48" s="40" t="n">
        <f aca="false">MAX(AH44:AH47)-AH49+1</f>
        <v>91608</v>
      </c>
      <c r="AI48" s="40" t="n">
        <f aca="false">MAX(AI44:AI47)-AI49+1</f>
        <v>17</v>
      </c>
      <c r="AK48" s="40" t="n">
        <f aca="false">MAX(AK44:AK47)-MIN(AK44:AK47)+1</f>
        <v>10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-898</v>
      </c>
      <c r="AI49" s="40" t="n">
        <f aca="false">MIN(AI44:AI47)</f>
        <v>-9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1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2</v>
      </c>
      <c r="AG50" s="40" t="n">
        <f aca="false">SUMIF($E$7:$E$54,$AB50,$G$7:$G$54) + SUMIF($H$7:$H$54,$AB50,$F$7:$F$54)</f>
        <v>5</v>
      </c>
      <c r="AH50" s="40" t="n">
        <f aca="false">(AF50-AG50)*100+AK50*10000+AF50</f>
        <v>29702</v>
      </c>
      <c r="AI50" s="40" t="n">
        <f aca="false">AF50-AG50</f>
        <v>-3</v>
      </c>
      <c r="AJ50" s="40" t="n">
        <f aca="false">(AI50-AI55)/AI54</f>
        <v>0</v>
      </c>
      <c r="AK50" s="40" t="n">
        <f aca="false">AC50*3+AD50</f>
        <v>3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755.0006045</v>
      </c>
      <c r="AO50" s="43" t="str">
        <f aca="false">IF(SUM(AC50:AE53)=12,J51,INDEX(T,84,lang))</f>
        <v>Colombia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 t="n">
        <v>0</v>
      </c>
      <c r="G51" s="65" t="n">
        <v>1</v>
      </c>
      <c r="H51" s="66" t="str">
        <f aca="false">AB44</f>
        <v>Bélgica</v>
      </c>
      <c r="J51" s="71" t="str">
        <f aca="false">VLOOKUP(1,AA50:AK53,2,0)</f>
        <v>Colombia</v>
      </c>
      <c r="K51" s="72" t="n">
        <f aca="false">L51+M51+N51</f>
        <v>3</v>
      </c>
      <c r="L51" s="72" t="n">
        <f aca="false">VLOOKUP(1,AA50:AK53,3,0)</f>
        <v>2</v>
      </c>
      <c r="M51" s="72" t="n">
        <f aca="false">VLOOKUP(1,AA50:AK53,4,0)</f>
        <v>0</v>
      </c>
      <c r="N51" s="72" t="n">
        <f aca="false">VLOOKUP(1,AA50:AK53,5,0)</f>
        <v>1</v>
      </c>
      <c r="O51" s="72" t="str">
        <f aca="false">VLOOKUP(1,AA50:AK53,6,0) &amp; " - " &amp; VLOOKUP(1,AA50:AK53,7,0)</f>
        <v>5 - 2</v>
      </c>
      <c r="P51" s="73" t="n">
        <f aca="false">L51*3+M51</f>
        <v>6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>Inglaterra_lose</v>
      </c>
      <c r="T51" s="41" t="str">
        <f aca="false">IF(S51="","",IF(F51&lt;G51,H51&amp;"_win",IF(F51&gt;G51,H51&amp;"_lose",H51&amp;"_draw")))</f>
        <v>Bélgica_win</v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n">
        <f aca="false">IF(OR(F51="",G51=""),"",IF(F51&gt;G51,1,IF(F51&lt;G51,-1,0)))</f>
        <v>-1</v>
      </c>
      <c r="AA51" s="40" t="n">
        <f aca="false">COUNTIF(AN50:AN53,CONCATENATE("&gt;=",AN51))</f>
        <v>2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1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4</v>
      </c>
      <c r="AH51" s="40" t="n">
        <f aca="false">(AF51-AG51)*100+AK51*10000+AF51</f>
        <v>40004</v>
      </c>
      <c r="AI51" s="40" t="n">
        <f aca="false">AF51-AG51</f>
        <v>0</v>
      </c>
      <c r="AJ51" s="40" t="n">
        <f aca="false">(AI51-AI55)/AI54</f>
        <v>0.428571428571429</v>
      </c>
      <c r="AK51" s="40" t="n">
        <f aca="false">AC51*3+AD51</f>
        <v>4</v>
      </c>
      <c r="AL51" s="40" t="n">
        <f aca="false">AP51/AP54*1000+AQ51/AQ54*100+AT51/AT54*10+AR51/AR54</f>
        <v>50.6666666666667</v>
      </c>
      <c r="AM51" s="40" t="n">
        <f aca="false">VLOOKUP(AB51,db_fifarank,2,0)/2000000</f>
        <v>0.000442</v>
      </c>
      <c r="AN51" s="42" t="n">
        <f aca="false">1000*AK51/AK54+100*AJ51+10*AF51/AF54+1*AL51/AL54+AM51</f>
        <v>1053.83823001843</v>
      </c>
      <c r="AO51" s="43" t="str">
        <f aca="false">IF(SUM(AC50:AE53)=12,J52,INDEX(T,85,lang))</f>
        <v>Senegal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1</v>
      </c>
      <c r="AR51" s="44" t="n">
        <f aca="false">SUMPRODUCT(($E$7:$E$54=AB51)*($U$7:$U$54)*($F$7:$F$54))+SUMPRODUCT(($H$7:$H$54=AB51)*($U$7:$U$54)*($G$7:$G$54))</f>
        <v>2</v>
      </c>
      <c r="AS51" s="44" t="n">
        <f aca="false">SUMPRODUCT(($E$7:$E$54=AB51)*($U$7:$U$54)*($G$7:$G$54))+SUMPRODUCT(($H$7:$H$54=AB51)*($U$7:$U$54)*($F$7:$F$54))</f>
        <v>2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 t="n">
        <v>1</v>
      </c>
      <c r="G52" s="65" t="n">
        <v>2</v>
      </c>
      <c r="H52" s="66" t="str">
        <f aca="false">AB46</f>
        <v>Túnez</v>
      </c>
      <c r="J52" s="75" t="str">
        <f aca="false">VLOOKUP(2,AA50:AK53,2,0)</f>
        <v>Senegal</v>
      </c>
      <c r="K52" s="76" t="n">
        <f aca="false">L52+M52+N52</f>
        <v>3</v>
      </c>
      <c r="L52" s="76" t="n">
        <f aca="false">VLOOKUP(2,AA50:AK53,3,0)</f>
        <v>1</v>
      </c>
      <c r="M52" s="76" t="n">
        <f aca="false">VLOOKUP(2,AA50:AK53,4,0)</f>
        <v>1</v>
      </c>
      <c r="N52" s="76" t="n">
        <f aca="false">VLOOKUP(2,AA50:AK53,5,0)</f>
        <v>1</v>
      </c>
      <c r="O52" s="76" t="str">
        <f aca="false">VLOOKUP(2,AA50:AK53,6,0) &amp; " - " &amp; VLOOKUP(2,AA50:AK53,7,0)</f>
        <v>4 - 4</v>
      </c>
      <c r="P52" s="77" t="n">
        <f aca="false">L52*3+M52</f>
        <v>4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>Panamá_lose</v>
      </c>
      <c r="T52" s="41" t="str">
        <f aca="false">IF(S52="","",IF(F52&lt;G52,H52&amp;"_win",IF(F52&gt;G52,H52&amp;"_lose",H52&amp;"_draw")))</f>
        <v>Túnez_win</v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n">
        <f aca="false">IF(OR(F52="",G52=""),"",IF(F52&gt;G52,1,IF(F52&lt;G52,-1,0)))</f>
        <v>-1</v>
      </c>
      <c r="AA52" s="40" t="n">
        <f aca="false">COUNTIF(AN50:AN53,CONCATENATE("&gt;=",AN52))</f>
        <v>1</v>
      </c>
      <c r="AB52" s="42" t="str">
        <f aca="false">VLOOKUP("Colombia",T,lang,0)</f>
        <v>Colombia</v>
      </c>
      <c r="AC52" s="40" t="n">
        <f aca="false">COUNTIF($S$7:$T$54,"=" &amp; AB52 &amp; "_win")</f>
        <v>2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5</v>
      </c>
      <c r="AG52" s="40" t="n">
        <f aca="false">SUMIF($E$7:$E$54,$AB52,$G$7:$G$54) + SUMIF($H$7:$H$54,$AB52,$F$7:$F$54)</f>
        <v>2</v>
      </c>
      <c r="AH52" s="40" t="n">
        <f aca="false">(AF52-AG52)*100+AK52*10000+AF52</f>
        <v>60305</v>
      </c>
      <c r="AI52" s="40" t="n">
        <f aca="false">AF52-AG52</f>
        <v>3</v>
      </c>
      <c r="AJ52" s="40" t="n">
        <f aca="false">(AI52-AI55)/AI54</f>
        <v>0.857142857142857</v>
      </c>
      <c r="AK52" s="40" t="n">
        <f aca="false">AC52*3+AD52</f>
        <v>6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1598.21482471429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 t="n">
        <v>0</v>
      </c>
      <c r="G53" s="65" t="n">
        <v>1</v>
      </c>
      <c r="H53" s="66" t="str">
        <f aca="false">AB50</f>
        <v>Polonia</v>
      </c>
      <c r="J53" s="75" t="str">
        <f aca="false">VLOOKUP(3,AA50:AK53,2,0)</f>
        <v>Japón</v>
      </c>
      <c r="K53" s="76" t="n">
        <f aca="false">L53+M53+N53</f>
        <v>3</v>
      </c>
      <c r="L53" s="76" t="n">
        <f aca="false">VLOOKUP(3,AA50:AK53,3,0)</f>
        <v>1</v>
      </c>
      <c r="M53" s="76" t="n">
        <f aca="false">VLOOKUP(3,AA50:AK53,4,0)</f>
        <v>1</v>
      </c>
      <c r="N53" s="76" t="n">
        <f aca="false">VLOOKUP(3,AA50:AK53,5,0)</f>
        <v>1</v>
      </c>
      <c r="O53" s="76" t="str">
        <f aca="false">VLOOKUP(3,AA50:AK53,6,0) &amp; " - " &amp; VLOOKUP(3,AA50:AK53,7,0)</f>
        <v>4 - 4</v>
      </c>
      <c r="P53" s="77" t="n">
        <f aca="false">L53*3+M53</f>
        <v>4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>Japón_lose</v>
      </c>
      <c r="T53" s="41" t="str">
        <f aca="false">IF(S53="","",IF(F53&lt;G53,H53&amp;"_win",IF(F53&gt;G53,H53&amp;"_lose",H53&amp;"_draw")))</f>
        <v>Polonia_win</v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n">
        <f aca="false">IF(OR(F53="",G53=""),"",IF(F53&gt;G53,1,IF(F53&lt;G53,-1,0)))</f>
        <v>-1</v>
      </c>
      <c r="AA53" s="40" t="n">
        <f aca="false">COUNTIF(AN50:AN53,CONCATENATE("&gt;=",AN53))</f>
        <v>3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1</v>
      </c>
      <c r="AE53" s="40" t="n">
        <f aca="false">COUNTIF($S$7:$T$54,"=" &amp; AB53 &amp; "_lose")</f>
        <v>1</v>
      </c>
      <c r="AF53" s="40" t="n">
        <f aca="false">SUMIF($E$7:$E$54,$AB53,$F$7:$F$54) + SUMIF($H$7:$H$54,$AB53,$G$7:$G$54)</f>
        <v>4</v>
      </c>
      <c r="AG53" s="40" t="n">
        <f aca="false">SUMIF($E$7:$E$54,$AB53,$G$7:$G$54) + SUMIF($H$7:$H$54,$AB53,$F$7:$F$54)</f>
        <v>4</v>
      </c>
      <c r="AH53" s="40" t="n">
        <f aca="false">(AF53-AG53)*100+AK53*10000+AF53</f>
        <v>40004</v>
      </c>
      <c r="AI53" s="40" t="n">
        <f aca="false">AF53-AG53</f>
        <v>0</v>
      </c>
      <c r="AJ53" s="40" t="n">
        <f aca="false">(AI53-AI55)/AI54</f>
        <v>0.428571428571429</v>
      </c>
      <c r="AK53" s="40" t="n">
        <f aca="false">AC53*3+AD53</f>
        <v>4</v>
      </c>
      <c r="AL53" s="40" t="n">
        <f aca="false">AP53/AP54*1000+AQ53/AQ54*100+AT53/AT54*10+AR53/AR54</f>
        <v>50.6666666666667</v>
      </c>
      <c r="AM53" s="40" t="n">
        <f aca="false">VLOOKUP(AB53,db_fifarank,2,0)/2000000</f>
        <v>0.0003</v>
      </c>
      <c r="AN53" s="42" t="n">
        <f aca="false">1000*AK53/AK54+100*AJ53+10*AF53/AF54+1*AL53/AL54+AM53</f>
        <v>1053.83808801843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1</v>
      </c>
      <c r="AR53" s="44" t="n">
        <f aca="false">SUMPRODUCT(($E$7:$E$54=AB53)*($U$7:$U$54)*($F$7:$F$54))+SUMPRODUCT(($H$7:$H$54=AB53)*($U$7:$U$54)*($G$7:$G$54))</f>
        <v>2</v>
      </c>
      <c r="AS53" s="44" t="n">
        <f aca="false">SUMPRODUCT(($E$7:$E$54=AB53)*($U$7:$U$54)*($G$7:$G$54))+SUMPRODUCT(($H$7:$H$54=AB53)*($U$7:$U$54)*($F$7:$F$54))</f>
        <v>2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 t="n">
        <v>0</v>
      </c>
      <c r="G54" s="84" t="n">
        <v>1</v>
      </c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3</v>
      </c>
      <c r="L54" s="88" t="n">
        <f aca="false">VLOOKUP(4,AA50:AK53,3,0)</f>
        <v>1</v>
      </c>
      <c r="M54" s="88" t="n">
        <f aca="false">VLOOKUP(4,AA50:AK53,4,0)</f>
        <v>0</v>
      </c>
      <c r="N54" s="88" t="n">
        <f aca="false">VLOOKUP(4,AA50:AK53,5,0)</f>
        <v>2</v>
      </c>
      <c r="O54" s="88" t="str">
        <f aca="false">VLOOKUP(4,AA50:AK53,6,0) &amp; " - " &amp; VLOOKUP(4,AA50:AK53,7,0)</f>
        <v>2 - 5</v>
      </c>
      <c r="P54" s="89" t="n">
        <f aca="false">L54*3+M54</f>
        <v>3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>Senegal_lose</v>
      </c>
      <c r="T54" s="41" t="str">
        <f aca="false">IF(S54="","",IF(F54&lt;G54,H54&amp;"_win",IF(F54&gt;G54,H54&amp;"_lose",H54&amp;"_draw")))</f>
        <v>Colombia_win</v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n">
        <f aca="false">IF(OR(F54="",G54=""),"",IF(F54&gt;G54,1,IF(F54&lt;G54,-1,0)))</f>
        <v>-1</v>
      </c>
      <c r="AC54" s="40" t="n">
        <f aca="false">MAX(AC50:AC53)-MIN(AC50:AC53)+1</f>
        <v>2</v>
      </c>
      <c r="AD54" s="40" t="n">
        <f aca="false">MAX(AD50:AD53)-MIN(AD50:AD53)+1</f>
        <v>2</v>
      </c>
      <c r="AE54" s="40" t="n">
        <f aca="false">MAX(AE50:AE53)-MIN(AE50:AE53)+1</f>
        <v>2</v>
      </c>
      <c r="AF54" s="40" t="n">
        <f aca="false">MAX(AF50:AF53)-MIN(AF50:AF53)+1</f>
        <v>4</v>
      </c>
      <c r="AG54" s="40" t="n">
        <f aca="false">MAX(AG50:AG53)-MIN(AG50:AG53)+1</f>
        <v>4</v>
      </c>
      <c r="AH54" s="40" t="n">
        <f aca="false">MAX(AH50:AH53)-AH55+1</f>
        <v>30604</v>
      </c>
      <c r="AI54" s="40" t="n">
        <f aca="false">MAX(AI50:AI53)-AI55+1</f>
        <v>7</v>
      </c>
      <c r="AK54" s="40" t="n">
        <f aca="false">MAX(AK50:AK53)-MIN(AK50:AK53)+1</f>
        <v>4</v>
      </c>
      <c r="AL54" s="40" t="n">
        <f aca="false">MAX(AL50:AL53)-MIN(AL50:AL53)+1</f>
        <v>51.6666666666667</v>
      </c>
      <c r="AP54" s="40" t="n">
        <f aca="false">MAX(AP50:AP53)-MIN(AP50:AP53)+1</f>
        <v>1</v>
      </c>
      <c r="AQ54" s="40" t="n">
        <f aca="false">MAX(AQ50:AQ53)-MIN(AQ50:AQ53)+1</f>
        <v>2</v>
      </c>
      <c r="AR54" s="40" t="n">
        <f aca="false">MAX(AR50:AR53)-MIN(AR50:AR53)+1</f>
        <v>3</v>
      </c>
      <c r="AS54" s="40" t="n">
        <f aca="false">MAX(AS50:AS53)-MIN(AS50:AS53)+1</f>
        <v>3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29702</v>
      </c>
      <c r="AI55" s="40" t="n">
        <f aca="false">MIN(AI50:AI53)</f>
        <v>-3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2018-06-28T18:22:16Z</dcterms:modified>
  <cp:revision>29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