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<sst xmlns="http://schemas.openxmlformats.org/spreadsheetml/2006/main" count="4451" uniqueCount="2560">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</sst>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;;;"/>
    <numFmt numFmtId="166" formatCode="H:MM;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8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1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b val="1"/>
        <i val="0"/>
      </font>
    </dxf>
    <dxf>
      <font>
        <b val="1"/>
        <i val="0"/>
      </font>
    </dxf>
    <dxf>
      <font>
        <b val="1"/>
        <i val="0"/>
        <color rgb="FFFFFFFF"/>
      </font>
      <fill>
        <patternFill>
          <bgColor rgb="FFDEEBF7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1261080</xdr:colOff>
      <xdr:row>6</xdr:row>
      <xdr:rowOff>22680</xdr:rowOff>
    </xdr:from>
    <xdr:to>
      <xdr:col>4</xdr:col>
      <xdr:colOff>1490760</xdr:colOff>
      <xdr:row>6</xdr:row>
      <xdr:rowOff>174960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6520" y="123228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22</xdr:row>
      <xdr:rowOff>18000</xdr:rowOff>
    </xdr:from>
    <xdr:to>
      <xdr:col>4</xdr:col>
      <xdr:colOff>1490760</xdr:colOff>
      <xdr:row>22</xdr:row>
      <xdr:rowOff>170280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6520" y="427536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38</xdr:row>
      <xdr:rowOff>18000</xdr:rowOff>
    </xdr:from>
    <xdr:to>
      <xdr:col>7</xdr:col>
      <xdr:colOff>252360</xdr:colOff>
      <xdr:row>38</xdr:row>
      <xdr:rowOff>170280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160" y="7323480"/>
          <a:ext cx="229680" cy="15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6</xdr:row>
      <xdr:rowOff>22680</xdr:rowOff>
    </xdr:from>
    <xdr:to>
      <xdr:col>7</xdr:col>
      <xdr:colOff>249480</xdr:colOff>
      <xdr:row>6</xdr:row>
      <xdr:rowOff>176400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160" y="1232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23</xdr:row>
      <xdr:rowOff>22680</xdr:rowOff>
    </xdr:from>
    <xdr:to>
      <xdr:col>7</xdr:col>
      <xdr:colOff>249480</xdr:colOff>
      <xdr:row>23</xdr:row>
      <xdr:rowOff>176400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160" y="4470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39</xdr:row>
      <xdr:rowOff>22680</xdr:rowOff>
    </xdr:from>
    <xdr:to>
      <xdr:col>4</xdr:col>
      <xdr:colOff>1487880</xdr:colOff>
      <xdr:row>39</xdr:row>
      <xdr:rowOff>176400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6520" y="7518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7</xdr:row>
      <xdr:rowOff>22680</xdr:rowOff>
    </xdr:from>
    <xdr:to>
      <xdr:col>4</xdr:col>
      <xdr:colOff>1487880</xdr:colOff>
      <xdr:row>7</xdr:row>
      <xdr:rowOff>176400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6520" y="1422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27360</xdr:colOff>
      <xdr:row>22</xdr:row>
      <xdr:rowOff>22680</xdr:rowOff>
    </xdr:from>
    <xdr:to>
      <xdr:col>7</xdr:col>
      <xdr:colOff>254160</xdr:colOff>
      <xdr:row>22</xdr:row>
      <xdr:rowOff>176400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0840" y="4280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39</xdr:row>
      <xdr:rowOff>22680</xdr:rowOff>
    </xdr:from>
    <xdr:to>
      <xdr:col>7</xdr:col>
      <xdr:colOff>249480</xdr:colOff>
      <xdr:row>39</xdr:row>
      <xdr:rowOff>176400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160" y="7518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7</xdr:row>
      <xdr:rowOff>31680</xdr:rowOff>
    </xdr:from>
    <xdr:to>
      <xdr:col>7</xdr:col>
      <xdr:colOff>244800</xdr:colOff>
      <xdr:row>7</xdr:row>
      <xdr:rowOff>185400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1480" y="1431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23</xdr:row>
      <xdr:rowOff>36360</xdr:rowOff>
    </xdr:from>
    <xdr:to>
      <xdr:col>4</xdr:col>
      <xdr:colOff>1487880</xdr:colOff>
      <xdr:row>23</xdr:row>
      <xdr:rowOff>190080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6520" y="44845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38</xdr:row>
      <xdr:rowOff>27360</xdr:rowOff>
    </xdr:from>
    <xdr:to>
      <xdr:col>4</xdr:col>
      <xdr:colOff>1487880</xdr:colOff>
      <xdr:row>38</xdr:row>
      <xdr:rowOff>181080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6520" y="7332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8</xdr:row>
      <xdr:rowOff>22680</xdr:rowOff>
    </xdr:from>
    <xdr:to>
      <xdr:col>4</xdr:col>
      <xdr:colOff>1487880</xdr:colOff>
      <xdr:row>8</xdr:row>
      <xdr:rowOff>176400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6520" y="1613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24</xdr:row>
      <xdr:rowOff>22680</xdr:rowOff>
    </xdr:from>
    <xdr:to>
      <xdr:col>4</xdr:col>
      <xdr:colOff>1487880</xdr:colOff>
      <xdr:row>24</xdr:row>
      <xdr:rowOff>176400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6520" y="4661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40</xdr:row>
      <xdr:rowOff>22680</xdr:rowOff>
    </xdr:from>
    <xdr:to>
      <xdr:col>7</xdr:col>
      <xdr:colOff>249480</xdr:colOff>
      <xdr:row>40</xdr:row>
      <xdr:rowOff>176400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160" y="7709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8</xdr:row>
      <xdr:rowOff>22680</xdr:rowOff>
    </xdr:from>
    <xdr:to>
      <xdr:col>7</xdr:col>
      <xdr:colOff>244800</xdr:colOff>
      <xdr:row>8</xdr:row>
      <xdr:rowOff>176400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1480" y="1613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25</xdr:row>
      <xdr:rowOff>27360</xdr:rowOff>
    </xdr:from>
    <xdr:to>
      <xdr:col>7</xdr:col>
      <xdr:colOff>249480</xdr:colOff>
      <xdr:row>25</xdr:row>
      <xdr:rowOff>181080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160" y="48564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41</xdr:row>
      <xdr:rowOff>22680</xdr:rowOff>
    </xdr:from>
    <xdr:to>
      <xdr:col>4</xdr:col>
      <xdr:colOff>1483200</xdr:colOff>
      <xdr:row>41</xdr:row>
      <xdr:rowOff>176400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1840" y="7899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41</xdr:row>
      <xdr:rowOff>27360</xdr:rowOff>
    </xdr:from>
    <xdr:to>
      <xdr:col>7</xdr:col>
      <xdr:colOff>244800</xdr:colOff>
      <xdr:row>41</xdr:row>
      <xdr:rowOff>181080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1480" y="79045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24</xdr:row>
      <xdr:rowOff>22680</xdr:rowOff>
    </xdr:from>
    <xdr:to>
      <xdr:col>7</xdr:col>
      <xdr:colOff>249480</xdr:colOff>
      <xdr:row>24</xdr:row>
      <xdr:rowOff>176400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160" y="4661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9</xdr:row>
      <xdr:rowOff>18000</xdr:rowOff>
    </xdr:from>
    <xdr:to>
      <xdr:col>4</xdr:col>
      <xdr:colOff>1487880</xdr:colOff>
      <xdr:row>9</xdr:row>
      <xdr:rowOff>171720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6520" y="1798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9</xdr:row>
      <xdr:rowOff>22680</xdr:rowOff>
    </xdr:from>
    <xdr:to>
      <xdr:col>7</xdr:col>
      <xdr:colOff>244800</xdr:colOff>
      <xdr:row>9</xdr:row>
      <xdr:rowOff>176400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1480" y="1803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25</xdr:row>
      <xdr:rowOff>18000</xdr:rowOff>
    </xdr:from>
    <xdr:to>
      <xdr:col>4</xdr:col>
      <xdr:colOff>1487880</xdr:colOff>
      <xdr:row>25</xdr:row>
      <xdr:rowOff>171720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6520" y="4847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40</xdr:row>
      <xdr:rowOff>18000</xdr:rowOff>
    </xdr:from>
    <xdr:to>
      <xdr:col>4</xdr:col>
      <xdr:colOff>1487880</xdr:colOff>
      <xdr:row>40</xdr:row>
      <xdr:rowOff>171720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6520" y="77043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10</xdr:row>
      <xdr:rowOff>22680</xdr:rowOff>
    </xdr:from>
    <xdr:to>
      <xdr:col>4</xdr:col>
      <xdr:colOff>1487880</xdr:colOff>
      <xdr:row>10</xdr:row>
      <xdr:rowOff>176400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6520" y="1994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26</xdr:row>
      <xdr:rowOff>22680</xdr:rowOff>
    </xdr:from>
    <xdr:to>
      <xdr:col>4</xdr:col>
      <xdr:colOff>1487880</xdr:colOff>
      <xdr:row>26</xdr:row>
      <xdr:rowOff>176400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6520" y="5042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42</xdr:row>
      <xdr:rowOff>22680</xdr:rowOff>
    </xdr:from>
    <xdr:to>
      <xdr:col>7</xdr:col>
      <xdr:colOff>244800</xdr:colOff>
      <xdr:row>42</xdr:row>
      <xdr:rowOff>176400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1480" y="8090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10</xdr:row>
      <xdr:rowOff>22680</xdr:rowOff>
    </xdr:from>
    <xdr:to>
      <xdr:col>7</xdr:col>
      <xdr:colOff>244800</xdr:colOff>
      <xdr:row>10</xdr:row>
      <xdr:rowOff>176400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1480" y="1994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27</xdr:row>
      <xdr:rowOff>18000</xdr:rowOff>
    </xdr:from>
    <xdr:to>
      <xdr:col>7</xdr:col>
      <xdr:colOff>244800</xdr:colOff>
      <xdr:row>27</xdr:row>
      <xdr:rowOff>171720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1480" y="5227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43</xdr:row>
      <xdr:rowOff>18000</xdr:rowOff>
    </xdr:from>
    <xdr:to>
      <xdr:col>4</xdr:col>
      <xdr:colOff>1483200</xdr:colOff>
      <xdr:row>43</xdr:row>
      <xdr:rowOff>171720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1840" y="8276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11</xdr:row>
      <xdr:rowOff>22680</xdr:rowOff>
    </xdr:from>
    <xdr:to>
      <xdr:col>4</xdr:col>
      <xdr:colOff>1487880</xdr:colOff>
      <xdr:row>11</xdr:row>
      <xdr:rowOff>176400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6520" y="2184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26</xdr:row>
      <xdr:rowOff>22680</xdr:rowOff>
    </xdr:from>
    <xdr:to>
      <xdr:col>7</xdr:col>
      <xdr:colOff>249480</xdr:colOff>
      <xdr:row>26</xdr:row>
      <xdr:rowOff>176400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160" y="5042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43</xdr:row>
      <xdr:rowOff>18000</xdr:rowOff>
    </xdr:from>
    <xdr:to>
      <xdr:col>7</xdr:col>
      <xdr:colOff>244800</xdr:colOff>
      <xdr:row>43</xdr:row>
      <xdr:rowOff>171720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1480" y="8276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11</xdr:row>
      <xdr:rowOff>18000</xdr:rowOff>
    </xdr:from>
    <xdr:to>
      <xdr:col>7</xdr:col>
      <xdr:colOff>244800</xdr:colOff>
      <xdr:row>11</xdr:row>
      <xdr:rowOff>171720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1480" y="21801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27</xdr:row>
      <xdr:rowOff>18000</xdr:rowOff>
    </xdr:from>
    <xdr:to>
      <xdr:col>4</xdr:col>
      <xdr:colOff>1487880</xdr:colOff>
      <xdr:row>27</xdr:row>
      <xdr:rowOff>171720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6520" y="52279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42</xdr:row>
      <xdr:rowOff>18000</xdr:rowOff>
    </xdr:from>
    <xdr:to>
      <xdr:col>4</xdr:col>
      <xdr:colOff>1483200</xdr:colOff>
      <xdr:row>42</xdr:row>
      <xdr:rowOff>171720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1840" y="8085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12</xdr:row>
      <xdr:rowOff>18000</xdr:rowOff>
    </xdr:from>
    <xdr:to>
      <xdr:col>4</xdr:col>
      <xdr:colOff>1487880</xdr:colOff>
      <xdr:row>12</xdr:row>
      <xdr:rowOff>171720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6520" y="2370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28</xdr:row>
      <xdr:rowOff>22680</xdr:rowOff>
    </xdr:from>
    <xdr:to>
      <xdr:col>4</xdr:col>
      <xdr:colOff>1487880</xdr:colOff>
      <xdr:row>28</xdr:row>
      <xdr:rowOff>176400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6520" y="54230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44</xdr:row>
      <xdr:rowOff>18000</xdr:rowOff>
    </xdr:from>
    <xdr:to>
      <xdr:col>7</xdr:col>
      <xdr:colOff>249480</xdr:colOff>
      <xdr:row>44</xdr:row>
      <xdr:rowOff>171720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160" y="84664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12</xdr:row>
      <xdr:rowOff>22680</xdr:rowOff>
    </xdr:from>
    <xdr:to>
      <xdr:col>7</xdr:col>
      <xdr:colOff>249480</xdr:colOff>
      <xdr:row>12</xdr:row>
      <xdr:rowOff>176400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160" y="23752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45</xdr:row>
      <xdr:rowOff>22680</xdr:rowOff>
    </xdr:from>
    <xdr:to>
      <xdr:col>4</xdr:col>
      <xdr:colOff>1483200</xdr:colOff>
      <xdr:row>45</xdr:row>
      <xdr:rowOff>176400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1840" y="86616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29</xdr:row>
      <xdr:rowOff>22680</xdr:rowOff>
    </xdr:from>
    <xdr:to>
      <xdr:col>7</xdr:col>
      <xdr:colOff>244800</xdr:colOff>
      <xdr:row>29</xdr:row>
      <xdr:rowOff>176400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1480" y="56138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13</xdr:row>
      <xdr:rowOff>22680</xdr:rowOff>
    </xdr:from>
    <xdr:to>
      <xdr:col>4</xdr:col>
      <xdr:colOff>1487880</xdr:colOff>
      <xdr:row>13</xdr:row>
      <xdr:rowOff>176400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6520" y="25657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28</xdr:row>
      <xdr:rowOff>17280</xdr:rowOff>
    </xdr:from>
    <xdr:to>
      <xdr:col>7</xdr:col>
      <xdr:colOff>244080</xdr:colOff>
      <xdr:row>28</xdr:row>
      <xdr:rowOff>171000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0760" y="54176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21600</xdr:colOff>
      <xdr:row>45</xdr:row>
      <xdr:rowOff>17280</xdr:rowOff>
    </xdr:from>
    <xdr:to>
      <xdr:col>7</xdr:col>
      <xdr:colOff>248400</xdr:colOff>
      <xdr:row>45</xdr:row>
      <xdr:rowOff>171000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080" y="86562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13</xdr:row>
      <xdr:rowOff>21600</xdr:rowOff>
    </xdr:from>
    <xdr:to>
      <xdr:col>7</xdr:col>
      <xdr:colOff>244080</xdr:colOff>
      <xdr:row>13</xdr:row>
      <xdr:rowOff>175320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0760" y="25646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1260000</xdr:colOff>
      <xdr:row>29</xdr:row>
      <xdr:rowOff>21600</xdr:rowOff>
    </xdr:from>
    <xdr:to>
      <xdr:col>4</xdr:col>
      <xdr:colOff>1486800</xdr:colOff>
      <xdr:row>29</xdr:row>
      <xdr:rowOff>175320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5440" y="56127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1255680</xdr:colOff>
      <xdr:row>44</xdr:row>
      <xdr:rowOff>17280</xdr:rowOff>
    </xdr:from>
    <xdr:to>
      <xdr:col>4</xdr:col>
      <xdr:colOff>1482480</xdr:colOff>
      <xdr:row>44</xdr:row>
      <xdr:rowOff>171000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120" y="84657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14</xdr:row>
      <xdr:rowOff>23760</xdr:rowOff>
    </xdr:from>
    <xdr:to>
      <xdr:col>4</xdr:col>
      <xdr:colOff>1484280</xdr:colOff>
      <xdr:row>14</xdr:row>
      <xdr:rowOff>177480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2920" y="2757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30</xdr:row>
      <xdr:rowOff>19080</xdr:rowOff>
    </xdr:from>
    <xdr:to>
      <xdr:col>4</xdr:col>
      <xdr:colOff>1488960</xdr:colOff>
      <xdr:row>30</xdr:row>
      <xdr:rowOff>172800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7600" y="580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46</xdr:row>
      <xdr:rowOff>19080</xdr:rowOff>
    </xdr:from>
    <xdr:to>
      <xdr:col>7</xdr:col>
      <xdr:colOff>245880</xdr:colOff>
      <xdr:row>46</xdr:row>
      <xdr:rowOff>172800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2560" y="8848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14</xdr:row>
      <xdr:rowOff>19080</xdr:rowOff>
    </xdr:from>
    <xdr:to>
      <xdr:col>7</xdr:col>
      <xdr:colOff>201240</xdr:colOff>
      <xdr:row>14</xdr:row>
      <xdr:rowOff>172800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000" y="275256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42840</xdr:colOff>
      <xdr:row>31</xdr:row>
      <xdr:rowOff>19080</xdr:rowOff>
    </xdr:from>
    <xdr:to>
      <xdr:col>7</xdr:col>
      <xdr:colOff>196560</xdr:colOff>
      <xdr:row>31</xdr:row>
      <xdr:rowOff>172800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6320" y="599112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1290600</xdr:colOff>
      <xdr:row>47</xdr:row>
      <xdr:rowOff>19080</xdr:rowOff>
    </xdr:from>
    <xdr:to>
      <xdr:col>4</xdr:col>
      <xdr:colOff>1444320</xdr:colOff>
      <xdr:row>47</xdr:row>
      <xdr:rowOff>172800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040" y="9039240"/>
          <a:ext cx="15372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15</xdr:row>
      <xdr:rowOff>19080</xdr:rowOff>
    </xdr:from>
    <xdr:to>
      <xdr:col>4</xdr:col>
      <xdr:colOff>1484280</xdr:colOff>
      <xdr:row>15</xdr:row>
      <xdr:rowOff>172800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2920" y="2943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30</xdr:row>
      <xdr:rowOff>19080</xdr:rowOff>
    </xdr:from>
    <xdr:to>
      <xdr:col>7</xdr:col>
      <xdr:colOff>245880</xdr:colOff>
      <xdr:row>30</xdr:row>
      <xdr:rowOff>172800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2560" y="580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47</xdr:row>
      <xdr:rowOff>19080</xdr:rowOff>
    </xdr:from>
    <xdr:to>
      <xdr:col>7</xdr:col>
      <xdr:colOff>245880</xdr:colOff>
      <xdr:row>47</xdr:row>
      <xdr:rowOff>172800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2560" y="9039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15</xdr:row>
      <xdr:rowOff>19080</xdr:rowOff>
    </xdr:from>
    <xdr:to>
      <xdr:col>7</xdr:col>
      <xdr:colOff>245880</xdr:colOff>
      <xdr:row>15</xdr:row>
      <xdr:rowOff>172800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2560" y="2943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31</xdr:row>
      <xdr:rowOff>19080</xdr:rowOff>
    </xdr:from>
    <xdr:to>
      <xdr:col>4</xdr:col>
      <xdr:colOff>1488960</xdr:colOff>
      <xdr:row>31</xdr:row>
      <xdr:rowOff>172800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7600" y="5991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46</xdr:row>
      <xdr:rowOff>19080</xdr:rowOff>
    </xdr:from>
    <xdr:to>
      <xdr:col>4</xdr:col>
      <xdr:colOff>1484280</xdr:colOff>
      <xdr:row>46</xdr:row>
      <xdr:rowOff>172800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2920" y="8848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16</xdr:row>
      <xdr:rowOff>19080</xdr:rowOff>
    </xdr:from>
    <xdr:to>
      <xdr:col>4</xdr:col>
      <xdr:colOff>1484280</xdr:colOff>
      <xdr:row>16</xdr:row>
      <xdr:rowOff>172800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2920" y="3133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32</xdr:row>
      <xdr:rowOff>19080</xdr:rowOff>
    </xdr:from>
    <xdr:to>
      <xdr:col>4</xdr:col>
      <xdr:colOff>1484280</xdr:colOff>
      <xdr:row>32</xdr:row>
      <xdr:rowOff>172800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2920" y="6181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48</xdr:row>
      <xdr:rowOff>19080</xdr:rowOff>
    </xdr:from>
    <xdr:to>
      <xdr:col>7</xdr:col>
      <xdr:colOff>245880</xdr:colOff>
      <xdr:row>48</xdr:row>
      <xdr:rowOff>172800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2560" y="9229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16</xdr:row>
      <xdr:rowOff>23760</xdr:rowOff>
    </xdr:from>
    <xdr:to>
      <xdr:col>7</xdr:col>
      <xdr:colOff>245880</xdr:colOff>
      <xdr:row>16</xdr:row>
      <xdr:rowOff>177480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2560" y="3138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19080</xdr:rowOff>
    </xdr:from>
    <xdr:to>
      <xdr:col>7</xdr:col>
      <xdr:colOff>245880</xdr:colOff>
      <xdr:row>33</xdr:row>
      <xdr:rowOff>172800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2560" y="6372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49</xdr:row>
      <xdr:rowOff>19080</xdr:rowOff>
    </xdr:from>
    <xdr:to>
      <xdr:col>4</xdr:col>
      <xdr:colOff>1488960</xdr:colOff>
      <xdr:row>49</xdr:row>
      <xdr:rowOff>172800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7600" y="9420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17</xdr:row>
      <xdr:rowOff>19080</xdr:rowOff>
    </xdr:from>
    <xdr:to>
      <xdr:col>4</xdr:col>
      <xdr:colOff>1484280</xdr:colOff>
      <xdr:row>17</xdr:row>
      <xdr:rowOff>172800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2920" y="3324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32</xdr:row>
      <xdr:rowOff>19080</xdr:rowOff>
    </xdr:from>
    <xdr:to>
      <xdr:col>7</xdr:col>
      <xdr:colOff>245880</xdr:colOff>
      <xdr:row>32</xdr:row>
      <xdr:rowOff>172800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2560" y="6181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49</xdr:row>
      <xdr:rowOff>19080</xdr:rowOff>
    </xdr:from>
    <xdr:to>
      <xdr:col>7</xdr:col>
      <xdr:colOff>245880</xdr:colOff>
      <xdr:row>49</xdr:row>
      <xdr:rowOff>172800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2560" y="9420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17</xdr:row>
      <xdr:rowOff>19080</xdr:rowOff>
    </xdr:from>
    <xdr:to>
      <xdr:col>7</xdr:col>
      <xdr:colOff>245880</xdr:colOff>
      <xdr:row>17</xdr:row>
      <xdr:rowOff>172800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2560" y="3324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33</xdr:row>
      <xdr:rowOff>19080</xdr:rowOff>
    </xdr:from>
    <xdr:to>
      <xdr:col>4</xdr:col>
      <xdr:colOff>1484280</xdr:colOff>
      <xdr:row>33</xdr:row>
      <xdr:rowOff>172800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2920" y="6372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48</xdr:row>
      <xdr:rowOff>19080</xdr:rowOff>
    </xdr:from>
    <xdr:to>
      <xdr:col>4</xdr:col>
      <xdr:colOff>1484280</xdr:colOff>
      <xdr:row>48</xdr:row>
      <xdr:rowOff>172800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2920" y="9229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18</xdr:row>
      <xdr:rowOff>19080</xdr:rowOff>
    </xdr:from>
    <xdr:to>
      <xdr:col>4</xdr:col>
      <xdr:colOff>1467000</xdr:colOff>
      <xdr:row>18</xdr:row>
      <xdr:rowOff>172800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1360" y="351468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34</xdr:row>
      <xdr:rowOff>19080</xdr:rowOff>
    </xdr:from>
    <xdr:to>
      <xdr:col>4</xdr:col>
      <xdr:colOff>1467000</xdr:colOff>
      <xdr:row>34</xdr:row>
      <xdr:rowOff>172800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1360" y="656244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50</xdr:row>
      <xdr:rowOff>19080</xdr:rowOff>
    </xdr:from>
    <xdr:to>
      <xdr:col>7</xdr:col>
      <xdr:colOff>219240</xdr:colOff>
      <xdr:row>50</xdr:row>
      <xdr:rowOff>172800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1640" y="9610560"/>
          <a:ext cx="18108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18</xdr:row>
      <xdr:rowOff>19080</xdr:rowOff>
    </xdr:from>
    <xdr:to>
      <xdr:col>7</xdr:col>
      <xdr:colOff>245880</xdr:colOff>
      <xdr:row>18</xdr:row>
      <xdr:rowOff>172800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2560" y="3514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35</xdr:row>
      <xdr:rowOff>19080</xdr:rowOff>
    </xdr:from>
    <xdr:to>
      <xdr:col>7</xdr:col>
      <xdr:colOff>250560</xdr:colOff>
      <xdr:row>35</xdr:row>
      <xdr:rowOff>172800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240" y="6753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51</xdr:row>
      <xdr:rowOff>19080</xdr:rowOff>
    </xdr:from>
    <xdr:to>
      <xdr:col>4</xdr:col>
      <xdr:colOff>1484280</xdr:colOff>
      <xdr:row>51</xdr:row>
      <xdr:rowOff>172800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2920" y="9801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19</xdr:row>
      <xdr:rowOff>19080</xdr:rowOff>
    </xdr:from>
    <xdr:to>
      <xdr:col>4</xdr:col>
      <xdr:colOff>1484280</xdr:colOff>
      <xdr:row>19</xdr:row>
      <xdr:rowOff>172800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2920" y="3705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34</xdr:row>
      <xdr:rowOff>19080</xdr:rowOff>
    </xdr:from>
    <xdr:to>
      <xdr:col>7</xdr:col>
      <xdr:colOff>245880</xdr:colOff>
      <xdr:row>34</xdr:row>
      <xdr:rowOff>172800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2560" y="6562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51</xdr:row>
      <xdr:rowOff>19080</xdr:rowOff>
    </xdr:from>
    <xdr:to>
      <xdr:col>7</xdr:col>
      <xdr:colOff>245880</xdr:colOff>
      <xdr:row>51</xdr:row>
      <xdr:rowOff>172800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2560" y="9801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20</xdr:row>
      <xdr:rowOff>19080</xdr:rowOff>
    </xdr:from>
    <xdr:to>
      <xdr:col>4</xdr:col>
      <xdr:colOff>1484280</xdr:colOff>
      <xdr:row>20</xdr:row>
      <xdr:rowOff>172800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2920" y="38955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36</xdr:row>
      <xdr:rowOff>19080</xdr:rowOff>
    </xdr:from>
    <xdr:to>
      <xdr:col>4</xdr:col>
      <xdr:colOff>1488960</xdr:colOff>
      <xdr:row>36</xdr:row>
      <xdr:rowOff>172800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7600" y="6943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52</xdr:row>
      <xdr:rowOff>19080</xdr:rowOff>
    </xdr:from>
    <xdr:to>
      <xdr:col>7</xdr:col>
      <xdr:colOff>245880</xdr:colOff>
      <xdr:row>52</xdr:row>
      <xdr:rowOff>172800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2560" y="9991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20</xdr:row>
      <xdr:rowOff>23760</xdr:rowOff>
    </xdr:from>
    <xdr:to>
      <xdr:col>7</xdr:col>
      <xdr:colOff>250560</xdr:colOff>
      <xdr:row>20</xdr:row>
      <xdr:rowOff>177480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240" y="3900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37</xdr:row>
      <xdr:rowOff>19080</xdr:rowOff>
    </xdr:from>
    <xdr:to>
      <xdr:col>7</xdr:col>
      <xdr:colOff>250560</xdr:colOff>
      <xdr:row>37</xdr:row>
      <xdr:rowOff>172800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240" y="7134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53</xdr:row>
      <xdr:rowOff>19080</xdr:rowOff>
    </xdr:from>
    <xdr:to>
      <xdr:col>4</xdr:col>
      <xdr:colOff>1484280</xdr:colOff>
      <xdr:row>53</xdr:row>
      <xdr:rowOff>172800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2920" y="10182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21</xdr:row>
      <xdr:rowOff>23760</xdr:rowOff>
    </xdr:from>
    <xdr:to>
      <xdr:col>4</xdr:col>
      <xdr:colOff>1488960</xdr:colOff>
      <xdr:row>21</xdr:row>
      <xdr:rowOff>177480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7600" y="409068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23760</xdr:rowOff>
    </xdr:from>
    <xdr:to>
      <xdr:col>7</xdr:col>
      <xdr:colOff>250560</xdr:colOff>
      <xdr:row>36</xdr:row>
      <xdr:rowOff>177480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240" y="694836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53</xdr:row>
      <xdr:rowOff>19080</xdr:rowOff>
    </xdr:from>
    <xdr:to>
      <xdr:col>7</xdr:col>
      <xdr:colOff>245880</xdr:colOff>
      <xdr:row>53</xdr:row>
      <xdr:rowOff>172800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2560" y="10182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19080</xdr:rowOff>
    </xdr:from>
    <xdr:to>
      <xdr:col>7</xdr:col>
      <xdr:colOff>245880</xdr:colOff>
      <xdr:row>21</xdr:row>
      <xdr:rowOff>172800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2560" y="40860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37</xdr:row>
      <xdr:rowOff>19080</xdr:rowOff>
    </xdr:from>
    <xdr:to>
      <xdr:col>4</xdr:col>
      <xdr:colOff>1488960</xdr:colOff>
      <xdr:row>37</xdr:row>
      <xdr:rowOff>172800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7600" y="713412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52</xdr:row>
      <xdr:rowOff>19080</xdr:rowOff>
    </xdr:from>
    <xdr:to>
      <xdr:col>4</xdr:col>
      <xdr:colOff>1488960</xdr:colOff>
      <xdr:row>52</xdr:row>
      <xdr:rowOff>172800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7600" y="99914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19</xdr:row>
      <xdr:rowOff>23760</xdr:rowOff>
    </xdr:from>
    <xdr:to>
      <xdr:col>7</xdr:col>
      <xdr:colOff>250560</xdr:colOff>
      <xdr:row>19</xdr:row>
      <xdr:rowOff>177480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240" y="370980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35</xdr:row>
      <xdr:rowOff>19080</xdr:rowOff>
    </xdr:from>
    <xdr:to>
      <xdr:col>4</xdr:col>
      <xdr:colOff>1488960</xdr:colOff>
      <xdr:row>35</xdr:row>
      <xdr:rowOff>172800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7600" y="6753240"/>
          <a:ext cx="22680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50</xdr:row>
      <xdr:rowOff>19080</xdr:rowOff>
    </xdr:from>
    <xdr:to>
      <xdr:col>4</xdr:col>
      <xdr:colOff>1484280</xdr:colOff>
      <xdr:row>50</xdr:row>
      <xdr:rowOff>172800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2920" y="9610560"/>
          <a:ext cx="226800" cy="153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26" activeCellId="0" sqref="G26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1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1</v>
      </c>
      <c r="AH8" s="40" t="n">
        <f aca="false">(AF8-AG8)+1</f>
        <v>8</v>
      </c>
      <c r="AI8" s="40" t="n">
        <f aca="false">AF8-AG8</f>
        <v>7</v>
      </c>
      <c r="AJ8" s="40" t="n">
        <f aca="false">(AI8-AI13)/AI12</f>
        <v>0.928571428571429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958.889155888889</v>
      </c>
      <c r="AO8" s="43" t="str">
        <f aca="false">IF(SUM(AC8:AE11)=12,J9,INDEX(T,70,lang))</f>
        <v>1A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Rusia</v>
      </c>
      <c r="K9" s="72" t="n">
        <f aca="false">L9+M9+N9</f>
        <v>2</v>
      </c>
      <c r="L9" s="72" t="n">
        <f aca="false">VLOOKUP(1,AA8:AK11,3,0)</f>
        <v>2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8 - 1</v>
      </c>
      <c r="P9" s="73" t="n">
        <f aca="false">L9*3+M9</f>
        <v>6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4</v>
      </c>
      <c r="AB9" s="42" t="str">
        <f aca="false">VLOOKUP("Saudi Arabia",T,lang,0)</f>
        <v>Arabia Saudita</v>
      </c>
      <c r="AC9" s="40" t="n">
        <f aca="false">COUNTIF($S$7:$T$54,"=" &amp; AB9 &amp; "_win")</f>
        <v>0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0</v>
      </c>
      <c r="AG9" s="40" t="n">
        <f aca="false">SUMIF($E$7:$E$54,$AB9,$G$7:$G$54) + SUMIF($H$7:$H$54,$AB9,$F$7:$F$54)</f>
        <v>6</v>
      </c>
      <c r="AH9" s="40" t="n">
        <f aca="false">(AF9-AG9)+1</f>
        <v>-5</v>
      </c>
      <c r="AI9" s="40" t="n">
        <f aca="false">AF9-AG9</f>
        <v>-6</v>
      </c>
      <c r="AJ9" s="40" t="n">
        <f aca="false">(AI9-AI13)/AI12</f>
        <v>0</v>
      </c>
      <c r="AK9" s="40" t="n">
        <f aca="false">AC9*3+AD9</f>
        <v>0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0.0002715</v>
      </c>
      <c r="AO9" s="43" t="str">
        <f aca="false">IF(SUM(AC8:AE11)=12,J10,INDEX(T,71,lang))</f>
        <v>2A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Uruguay</v>
      </c>
      <c r="K10" s="76" t="n">
        <f aca="false">L10+M10+N10</f>
        <v>2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0</v>
      </c>
      <c r="O10" s="76" t="str">
        <f aca="false">VLOOKUP(2,AA8:AK11,6,0) &amp; " - " &amp; VLOOKUP(2,AA8:AK11,7,0)</f>
        <v>2 - 0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3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1</v>
      </c>
      <c r="AG10" s="40" t="n">
        <f aca="false">SUMIF($E$7:$E$54,$AB10,$G$7:$G$54) + SUMIF($H$7:$H$54,$AB10,$F$7:$F$54)</f>
        <v>4</v>
      </c>
      <c r="AH10" s="40" t="n">
        <f aca="false">(AF10-AG10)+1</f>
        <v>-2</v>
      </c>
      <c r="AI10" s="40" t="n">
        <f aca="false">AF10-AG10</f>
        <v>-3</v>
      </c>
      <c r="AJ10" s="40" t="n">
        <f aca="false">(AI10-AI13)/AI12</f>
        <v>0.214285714285714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22.5400850396825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1A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Egipto</v>
      </c>
      <c r="K11" s="76" t="n">
        <f aca="false">L11+M11+N11</f>
        <v>2</v>
      </c>
      <c r="L11" s="76" t="n">
        <f aca="false">VLOOKUP(3,AA8:AK11,3,0)</f>
        <v>0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1 - 4</v>
      </c>
      <c r="P11" s="77" t="n">
        <f aca="false">L11*3+M11</f>
        <v>0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2</v>
      </c>
      <c r="AB11" s="42" t="str">
        <f aca="false">VLOOKUP("Uruguay",T,lang,0)</f>
        <v>Uruguay</v>
      </c>
      <c r="AC11" s="40" t="n">
        <f aca="false">COUNTIF($S$7:$T$54,"=" &amp; AB11 &amp; "_win")</f>
        <v>2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2</v>
      </c>
      <c r="AG11" s="40" t="n">
        <f aca="false">SUMIF($E$7:$E$54,$AB11,$G$7:$G$54) + SUMIF($H$7:$H$54,$AB11,$F$7:$F$54)</f>
        <v>0</v>
      </c>
      <c r="AH11" s="40" t="n">
        <f aca="false">(AF11-AG11)+1</f>
        <v>3</v>
      </c>
      <c r="AI11" s="40" t="n">
        <f aca="false">AF11-AG11</f>
        <v>2</v>
      </c>
      <c r="AJ11" s="40" t="n">
        <f aca="false">(AI11-AI13)/AI12</f>
        <v>0.571428571428571</v>
      </c>
      <c r="AK11" s="40" t="n">
        <f aca="false">AC11*3+AD11</f>
        <v>6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916.508398507936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2B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Arabia Saudita</v>
      </c>
      <c r="K12" s="88" t="n">
        <f aca="false">L12+M12+N12</f>
        <v>2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2</v>
      </c>
      <c r="O12" s="88" t="str">
        <f aca="false">VLOOKUP(4,AA8:AK11,6,0) &amp; " - " &amp; VLOOKUP(4,AA8:AK11,7,0)</f>
        <v>0 - 6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3</v>
      </c>
      <c r="AD12" s="40" t="n">
        <f aca="false">MAX(AD8:AD11)-MIN(AD8:AD11)+1</f>
        <v>1</v>
      </c>
      <c r="AE12" s="40" t="n">
        <f aca="false">MAX(AE8:AE11)-MIN(AE8:AE11)+1</f>
        <v>3</v>
      </c>
      <c r="AF12" s="40" t="n">
        <f aca="false">MAX(AF8:AF11)-MIN(AF8:AF11)+1</f>
        <v>9</v>
      </c>
      <c r="AG12" s="40" t="n">
        <f aca="false">MAX(AG8:AG11)-MIN(AG8:AG11)+1</f>
        <v>7</v>
      </c>
      <c r="AH12" s="40" t="n">
        <f aca="false">MAX(AH8:AH11)-AH13+1</f>
        <v>14</v>
      </c>
      <c r="AI12" s="40" t="n">
        <f aca="false">MAX(AI8:AI11)-AI13+1</f>
        <v>14</v>
      </c>
      <c r="AK12" s="40" t="n">
        <f aca="false">MAX(AK8:AK11)-MIN(AK8:AK11)+1</f>
        <v>7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1</v>
      </c>
      <c r="V13" s="40" t="n">
        <f aca="false">U13*F13</f>
        <v>1</v>
      </c>
      <c r="W13" s="40" t="n">
        <f aca="false">U13*G13</f>
        <v>1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-5</v>
      </c>
      <c r="AI13" s="40" t="n">
        <f aca="false">MIN(AI8:AI11)</f>
        <v>-6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1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4</v>
      </c>
      <c r="AG14" s="40" t="n">
        <f aca="false">SUMIF($E$7:$E$54,$AB14,$G$7:$G$54) + SUMIF($H$7:$H$54,$AB14,$F$7:$F$54)</f>
        <v>3</v>
      </c>
      <c r="AH14" s="40" t="n">
        <f aca="false">(AF14-AG14)*100+AK14*10000+AF14</f>
        <v>40104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4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883.000679</v>
      </c>
      <c r="AO14" s="43" t="str">
        <f aca="false">IF(SUM(AC14:AE17)=12,J15,INDEX(T,72,lang))</f>
        <v>1B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1C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Portugal</v>
      </c>
      <c r="K15" s="72" t="n">
        <f aca="false">L15+M15+N15</f>
        <v>2</v>
      </c>
      <c r="L15" s="72" t="n">
        <f aca="false">VLOOKUP(1,AA14:AK17,3,0)</f>
        <v>1</v>
      </c>
      <c r="M15" s="72" t="n">
        <f aca="false">VLOOKUP(1,AA14:AK17,4,0)</f>
        <v>1</v>
      </c>
      <c r="N15" s="72" t="n">
        <f aca="false">VLOOKUP(1,AA14:AK17,5,0)</f>
        <v>0</v>
      </c>
      <c r="O15" s="72" t="str">
        <f aca="false">VLOOKUP(1,AA14:AK17,6,0) &amp; " - " &amp; VLOOKUP(1,AA14:AK17,7,0)</f>
        <v>4 - 3</v>
      </c>
      <c r="P15" s="73" t="n">
        <f aca="false">L15*3+M15</f>
        <v>4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1</v>
      </c>
      <c r="V15" s="40" t="n">
        <f aca="false">U15*F15</f>
        <v>1</v>
      </c>
      <c r="W15" s="40" t="n">
        <f aca="false">U15*G15</f>
        <v>1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3</v>
      </c>
      <c r="AB15" s="42" t="str">
        <f aca="false">VLOOKUP("Spain",T,lang,0)</f>
        <v>España</v>
      </c>
      <c r="AC15" s="40" t="n">
        <f aca="false">COUNTIF($S$7:$T$54,"=" &amp; AB15 &amp; "_win")</f>
        <v>0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3</v>
      </c>
      <c r="AG15" s="40" t="n">
        <f aca="false">SUMIF($E$7:$E$54,$AB15,$G$7:$G$54) + SUMIF($H$7:$H$54,$AB15,$F$7:$F$54)</f>
        <v>3</v>
      </c>
      <c r="AH15" s="40" t="n">
        <f aca="false">(AF15-AG15)*100+AK15*10000+AF15</f>
        <v>20003</v>
      </c>
      <c r="AI15" s="40" t="n">
        <f aca="false">AF15-AG15</f>
        <v>0</v>
      </c>
      <c r="AJ15" s="40" t="n">
        <f aca="false">(AI15-AI19)/AI18</f>
        <v>0.5</v>
      </c>
      <c r="AK15" s="40" t="n">
        <f aca="false">AC15*3+AD15</f>
        <v>2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456.0006155</v>
      </c>
      <c r="AO15" s="43" t="str">
        <f aca="false">IF(SUM(AC14:AE17)=12,J16,INDEX(T,73,lang))</f>
        <v>2B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2D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Irán</v>
      </c>
      <c r="K16" s="76" t="n">
        <f aca="false">L16+M16+N16</f>
        <v>2</v>
      </c>
      <c r="L16" s="76" t="n">
        <f aca="false">VLOOKUP(2,AA14:AK17,3,0)</f>
        <v>1</v>
      </c>
      <c r="M16" s="76" t="n">
        <f aca="false">VLOOKUP(2,AA14:AK17,4,0)</f>
        <v>1</v>
      </c>
      <c r="N16" s="76" t="n">
        <f aca="false">VLOOKUP(2,AA14:AK17,5,0)</f>
        <v>0</v>
      </c>
      <c r="O16" s="76" t="str">
        <f aca="false">VLOOKUP(2,AA14:AK17,6,0) &amp; " - " &amp; VLOOKUP(2,AA14:AK17,7,0)</f>
        <v>1 - 0</v>
      </c>
      <c r="P16" s="77" t="n">
        <f aca="false">L16*3+M16</f>
        <v>4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0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0</v>
      </c>
      <c r="AG16" s="40" t="n">
        <f aca="false">SUMIF($E$7:$E$54,$AB16,$G$7:$G$54) + SUMIF($H$7:$H$54,$AB16,$F$7:$F$54)</f>
        <v>2</v>
      </c>
      <c r="AH16" s="40" t="n">
        <f aca="false">(AF16-AG16)*100+AK16*10000+AF16</f>
        <v>-200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0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0.000369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España</v>
      </c>
      <c r="K17" s="76" t="n">
        <f aca="false">L17+M17+N17</f>
        <v>2</v>
      </c>
      <c r="L17" s="76" t="n">
        <f aca="false">VLOOKUP(3,AA14:AK17,3,0)</f>
        <v>0</v>
      </c>
      <c r="M17" s="76" t="n">
        <f aca="false">VLOOKUP(3,AA14:AK17,4,0)</f>
        <v>2</v>
      </c>
      <c r="N17" s="76" t="n">
        <f aca="false">VLOOKUP(3,AA14:AK17,5,0)</f>
        <v>0</v>
      </c>
      <c r="O17" s="76" t="str">
        <f aca="false">VLOOKUP(3,AA14:AK17,6,0) &amp; " - " &amp; VLOOKUP(3,AA14:AK17,7,0)</f>
        <v>3 - 3</v>
      </c>
      <c r="P17" s="77" t="n">
        <f aca="false">L17*3+M17</f>
        <v>2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2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0</v>
      </c>
      <c r="AF17" s="40" t="n">
        <f aca="false">SUMIF($E$7:$E$54,$AB17,$F$7:$F$54) + SUMIF($H$7:$H$54,$AB17,$G$7:$G$54)</f>
        <v>1</v>
      </c>
      <c r="AG17" s="40" t="n">
        <f aca="false">SUMIF($E$7:$E$54,$AB17,$G$7:$G$54) + SUMIF($H$7:$H$54,$AB17,$F$7:$F$54)</f>
        <v>0</v>
      </c>
      <c r="AH17" s="40" t="n">
        <f aca="false">(AF17-AG17)*100+AK17*10000+AF17</f>
        <v>40101</v>
      </c>
      <c r="AI17" s="40" t="n">
        <f aca="false">AF17-AG17</f>
        <v>1</v>
      </c>
      <c r="AJ17" s="40" t="n">
        <f aca="false">(AI17-AI19)/AI18</f>
        <v>0.75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877.000399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2</v>
      </c>
      <c r="L18" s="88" t="n">
        <f aca="false">VLOOKUP(4,AA14:AK17,3,0)</f>
        <v>0</v>
      </c>
      <c r="M18" s="88" t="n">
        <f aca="false">VLOOKUP(4,AA14:AK17,4,0)</f>
        <v>0</v>
      </c>
      <c r="N18" s="88" t="n">
        <f aca="false">VLOOKUP(4,AA14:AK17,5,0)</f>
        <v>2</v>
      </c>
      <c r="O18" s="88" t="str">
        <f aca="false">VLOOKUP(4,AA14:AK17,6,0) &amp; " - " &amp; VLOOKUP(4,AA14:AK17,7,0)</f>
        <v>0 - 2</v>
      </c>
      <c r="P18" s="89" t="n">
        <f aca="false">L18*3+M18</f>
        <v>0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3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-200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1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2</v>
      </c>
      <c r="AG20" s="40" t="n">
        <f aca="false">SUMIF($E$7:$E$54,$AB20,$G$7:$G$54) + SUMIF($H$7:$H$54,$AB20,$F$7:$F$54)</f>
        <v>1</v>
      </c>
      <c r="AH20" s="40" t="n">
        <f aca="false">(AF20-AG20)*100+AK20*10000+AF20</f>
        <v>30102</v>
      </c>
      <c r="AI20" s="40" t="n">
        <f aca="false">AF20-AG20</f>
        <v>1</v>
      </c>
      <c r="AJ20" s="40" t="n">
        <f aca="false">(AI20-AI25)/AI24</f>
        <v>0.666666666666667</v>
      </c>
      <c r="AK20" s="40" t="n">
        <f aca="false">AC20*3+AD20</f>
        <v>3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823.333924833333</v>
      </c>
      <c r="AO20" s="43" t="str">
        <f aca="false">IF(SUM(AC20:AE23)=12,J21,INDEX(T,74,lang))</f>
        <v>1C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1</v>
      </c>
      <c r="L21" s="72" t="n">
        <f aca="false">VLOOKUP(1,AA20:AK23,3,0)</f>
        <v>1</v>
      </c>
      <c r="M21" s="72" t="n">
        <f aca="false">VLOOKUP(1,AA20:AK23,4,0)</f>
        <v>0</v>
      </c>
      <c r="N21" s="72" t="n">
        <f aca="false">VLOOKUP(1,AA20:AK23,5,0)</f>
        <v>0</v>
      </c>
      <c r="O21" s="72" t="str">
        <f aca="false">VLOOKUP(1,AA20:AK23,6,0) &amp; " - " &amp; VLOOKUP(1,AA20:AK23,7,0)</f>
        <v>2 - 1</v>
      </c>
      <c r="P21" s="73" t="n">
        <f aca="false">L21*3+M21</f>
        <v>3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3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0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1</v>
      </c>
      <c r="AG21" s="40" t="n">
        <f aca="false">SUMIF($E$7:$E$54,$AB21,$G$7:$G$54) + SUMIF($H$7:$H$54,$AB21,$F$7:$F$54)</f>
        <v>2</v>
      </c>
      <c r="AH21" s="40" t="n">
        <f aca="false">(AF21-AG21)*100+AK21*10000+AF21</f>
        <v>-99</v>
      </c>
      <c r="AI21" s="40" t="n">
        <f aca="false">AF21-AG21</f>
        <v>-1</v>
      </c>
      <c r="AJ21" s="40" t="n">
        <f aca="false">(AI21-AI25)/AI24</f>
        <v>0</v>
      </c>
      <c r="AK21" s="40" t="n">
        <f aca="false">AC21*3+AD21</f>
        <v>0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3.33370683333333</v>
      </c>
      <c r="AO21" s="43" t="str">
        <f aca="false">IF(SUM(AC20:AE23)=12,J22,INDEX(T,75,lang))</f>
        <v>2C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1</v>
      </c>
      <c r="L22" s="76" t="n">
        <f aca="false">VLOOKUP(2,AA20:AK23,3,0)</f>
        <v>1</v>
      </c>
      <c r="M22" s="76" t="n">
        <f aca="false">VLOOKUP(2,AA20:AK23,4,0)</f>
        <v>0</v>
      </c>
      <c r="N22" s="76" t="n">
        <f aca="false">VLOOKUP(2,AA20:AK23,5,0)</f>
        <v>0</v>
      </c>
      <c r="O22" s="76" t="str">
        <f aca="false">VLOOKUP(2,AA20:AK23,6,0) &amp; " - " &amp; VLOOKUP(2,AA20:AK23,7,0)</f>
        <v>1 - 0</v>
      </c>
      <c r="P22" s="77" t="n">
        <f aca="false">L22*3+M22</f>
        <v>3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4</v>
      </c>
      <c r="AB22" s="42" t="str">
        <f aca="false">VLOOKUP("Peru",T,lang,0)</f>
        <v>Perú</v>
      </c>
      <c r="AC22" s="40" t="n">
        <f aca="false">COUNTIF($S$7:$T$54,"=" &amp; AB22 &amp; "_win")</f>
        <v>0</v>
      </c>
      <c r="AD22" s="40" t="n">
        <f aca="false">COUNTIF($S$7:$T$54,"=" &amp; AB22 &amp; "_draw")</f>
        <v>0</v>
      </c>
      <c r="AE22" s="40" t="n">
        <f aca="false">COUNTIF($S$7:$T$54,"=" &amp; AB22 &amp; "_lose")</f>
        <v>1</v>
      </c>
      <c r="AF22" s="40" t="n">
        <f aca="false">SUMIF($E$7:$E$54,$AB22,$F$7:$F$54) + SUMIF($H$7:$H$54,$AB22,$G$7:$G$54)</f>
        <v>0</v>
      </c>
      <c r="AG22" s="40" t="n">
        <f aca="false">SUMIF($E$7:$E$54,$AB22,$G$7:$G$54) + SUMIF($H$7:$H$54,$AB22,$F$7:$F$54)</f>
        <v>1</v>
      </c>
      <c r="AH22" s="40" t="n">
        <f aca="false">(AF22-AG22)*100+AK22*10000+AF22</f>
        <v>-100</v>
      </c>
      <c r="AI22" s="40" t="n">
        <f aca="false">AF22-AG22</f>
        <v>-1</v>
      </c>
      <c r="AJ22" s="40" t="n">
        <f aca="false">(AI22-AI25)/AI24</f>
        <v>0</v>
      </c>
      <c r="AK22" s="40" t="n">
        <f aca="false">AC22*3+AD22</f>
        <v>0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0.000564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Australia</v>
      </c>
      <c r="K23" s="76" t="n">
        <f aca="false">L23+M23+N23</f>
        <v>1</v>
      </c>
      <c r="L23" s="76" t="n">
        <f aca="false">VLOOKUP(3,AA20:AK23,3,0)</f>
        <v>0</v>
      </c>
      <c r="M23" s="76" t="n">
        <f aca="false">VLOOKUP(3,AA20:AK23,4,0)</f>
        <v>0</v>
      </c>
      <c r="N23" s="76" t="n">
        <f aca="false">VLOOKUP(3,AA20:AK23,5,0)</f>
        <v>1</v>
      </c>
      <c r="O23" s="76" t="str">
        <f aca="false">VLOOKUP(3,AA20:AK23,6,0) &amp; " - " &amp; VLOOKUP(3,AA20:AK23,7,0)</f>
        <v>1 - 2</v>
      </c>
      <c r="P23" s="77" t="n">
        <f aca="false">L23*3+M23</f>
        <v>0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0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1</v>
      </c>
      <c r="AG23" s="40" t="n">
        <f aca="false">SUMIF($E$7:$E$54,$AB23,$G$7:$G$54) + SUMIF($H$7:$H$54,$AB23,$F$7:$F$54)</f>
        <v>0</v>
      </c>
      <c r="AH23" s="40" t="n">
        <f aca="false">(AF23-AG23)*100+AK23*10000+AF23</f>
        <v>30101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3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820.0005495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Perú</v>
      </c>
      <c r="K24" s="88" t="n">
        <f aca="false">L24+M24+N24</f>
        <v>1</v>
      </c>
      <c r="L24" s="88" t="n">
        <f aca="false">VLOOKUP(4,AA20:AK23,3,0)</f>
        <v>0</v>
      </c>
      <c r="M24" s="88" t="n">
        <f aca="false">VLOOKUP(4,AA20:AK23,4,0)</f>
        <v>0</v>
      </c>
      <c r="N24" s="88" t="n">
        <f aca="false">VLOOKUP(4,AA20:AK23,5,0)</f>
        <v>1</v>
      </c>
      <c r="O24" s="88" t="str">
        <f aca="false">VLOOKUP(4,AA20:AK23,6,0) &amp; " - " &amp; VLOOKUP(4,AA20:AK23,7,0)</f>
        <v>0 - 1</v>
      </c>
      <c r="P24" s="89" t="n">
        <f aca="false">L24*3+M24</f>
        <v>0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2</v>
      </c>
      <c r="AD24" s="40" t="n">
        <f aca="false">MAX(AD20:AD23)-MIN(AD20:AD23)+1</f>
        <v>1</v>
      </c>
      <c r="AE24" s="40" t="n">
        <f aca="false">MAX(AE20:AE23)-MIN(AE20:AE23)+1</f>
        <v>2</v>
      </c>
      <c r="AF24" s="40" t="n">
        <f aca="false">MAX(AF20:AF23)-MIN(AF20:AF23)+1</f>
        <v>3</v>
      </c>
      <c r="AG24" s="40" t="n">
        <f aca="false">MAX(AG20:AG23)-MIN(AG20:AG23)+1</f>
        <v>3</v>
      </c>
      <c r="AH24" s="40" t="n">
        <f aca="false">MAX(AH20:AH23)-AH25+1</f>
        <v>30203</v>
      </c>
      <c r="AI24" s="40" t="n">
        <f aca="false">MAX(AI20:AI23)-AI25+1</f>
        <v>3</v>
      </c>
      <c r="AK24" s="40" t="n">
        <f aca="false">MAX(AK20:AK23)-MIN(AK20:AK23)+1</f>
        <v>4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-100</v>
      </c>
      <c r="AI25" s="40" t="n">
        <f aca="false">MIN(AI20:AI23)</f>
        <v>-1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0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Irán_draw</v>
      </c>
      <c r="T26" s="41" t="str">
        <f aca="false">IF(S26="","",IF(F26&lt;G26,H26&amp;"_win",IF(F26&gt;G26,H26&amp;"_lose",H26&amp;"_draw")))</f>
        <v>España_draw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0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0</v>
      </c>
      <c r="AD26" s="40" t="n">
        <f aca="false">COUNTIF($S$7:$T$54,"=" &amp; AB26 &amp; "_draw")</f>
        <v>1</v>
      </c>
      <c r="AE26" s="40" t="n">
        <f aca="false">COUNTIF($S$7:$T$54,"=" &amp; AB26 &amp; "_lose")</f>
        <v>0</v>
      </c>
      <c r="AF26" s="40" t="n">
        <f aca="false">SUMIF($E$7:$E$54,$AB26,$F$7:$F$54) + SUMIF($H$7:$H$54,$AB26,$G$7:$G$54)</f>
        <v>1</v>
      </c>
      <c r="AG26" s="40" t="n">
        <f aca="false">SUMIF($E$7:$E$54,$AB26,$G$7:$G$54) + SUMIF($H$7:$H$54,$AB26,$F$7:$F$54)</f>
        <v>1</v>
      </c>
      <c r="AH26" s="40" t="n">
        <f aca="false">(AF26-AG26)*100+AK26*10000+AF26</f>
        <v>10001</v>
      </c>
      <c r="AI26" s="40" t="n">
        <f aca="false">AF26-AG26</f>
        <v>0</v>
      </c>
      <c r="AJ26" s="40" t="n">
        <f aca="false">(AI26-AI31)/AI30</f>
        <v>0.4</v>
      </c>
      <c r="AK26" s="40" t="n">
        <f aca="false">AC26*3+AD26</f>
        <v>1</v>
      </c>
      <c r="AL26" s="40" t="n">
        <f aca="false">AP26/AP30*1000+AQ26/AQ30*100+AT26/AT30*10+AR26/AR30</f>
        <v>50.5</v>
      </c>
      <c r="AM26" s="40" t="n">
        <f aca="false">VLOOKUP(AB26,db_fifarank,2,0)/2000000</f>
        <v>0.000674</v>
      </c>
      <c r="AN26" s="42" t="n">
        <f aca="false">1000*AK26/AK30+100*AJ26+10*AF26/AF30+1*AL26/AL30+AM26</f>
        <v>294.314589857605</v>
      </c>
      <c r="AO26" s="43" t="str">
        <f aca="false">IF(SUM(AC26:AE29)=12,J27,INDEX(T,76,lang))</f>
        <v>1D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1</v>
      </c>
      <c r="AR26" s="44" t="n">
        <f aca="false">SUMPRODUCT(($E$7:$E$54=AB26)*($U$7:$U$54)*($F$7:$F$54))+SUMPRODUCT(($H$7:$H$54=AB26)*($U$7:$U$54)*($G$7:$G$54))</f>
        <v>1</v>
      </c>
      <c r="AS26" s="44" t="n">
        <f aca="false">SUMPRODUCT(($E$7:$E$54=AB26)*($U$7:$U$54)*($G$7:$G$54))+SUMPRODUCT(($H$7:$H$54=AB26)*($U$7:$U$54)*($F$7:$F$54))</f>
        <v>1</v>
      </c>
      <c r="AT26" s="44" t="n">
        <f aca="false">AR26-AS26</f>
        <v>0</v>
      </c>
      <c r="AY26" s="78" t="n">
        <v>51</v>
      </c>
      <c r="AZ26" s="79" t="str">
        <f aca="false">AO14</f>
        <v>1B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/>
      <c r="G27" s="65"/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1</v>
      </c>
      <c r="L27" s="72" t="n">
        <f aca="false">VLOOKUP(1,AA26:AK29,3,0)</f>
        <v>1</v>
      </c>
      <c r="M27" s="72" t="n">
        <f aca="false">VLOOKUP(1,AA26:AK29,4,0)</f>
        <v>0</v>
      </c>
      <c r="N27" s="72" t="n">
        <f aca="false">VLOOKUP(1,AA26:AK29,5,0)</f>
        <v>0</v>
      </c>
      <c r="O27" s="72" t="str">
        <f aca="false">VLOOKUP(1,AA26:AK29,6,0) &amp; " - " &amp; VLOOKUP(1,AA26:AK29,7,0)</f>
        <v>2 - 0</v>
      </c>
      <c r="P27" s="73" t="n">
        <f aca="false">L27*3+M27</f>
        <v>3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/>
      </c>
      <c r="T27" s="41" t="str">
        <f aca="false">IF(S27="","",IF(F27&lt;G27,H27&amp;"_win",IF(F27&gt;G27,H27&amp;"_lose",H27&amp;"_draw")))</f>
        <v/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str">
        <f aca="false">IF(OR(F27="",G27=""),"",IF(F27&gt;G27,1,IF(F27&lt;G27,-1,0)))</f>
        <v/>
      </c>
      <c r="AA27" s="40" t="n">
        <f aca="false">COUNTIF(AN26:AN29,CONCATENATE("&gt;=",AN27))</f>
        <v>3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0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1</v>
      </c>
      <c r="AH27" s="40" t="n">
        <f aca="false">(AF27-AG27)*100+AK27*10000+AF27</f>
        <v>10001</v>
      </c>
      <c r="AI27" s="40" t="n">
        <f aca="false">AF27-AG27</f>
        <v>0</v>
      </c>
      <c r="AJ27" s="40" t="n">
        <f aca="false">(AI27-AI31)/AI30</f>
        <v>0.4</v>
      </c>
      <c r="AK27" s="40" t="n">
        <f aca="false">AC27*3+AD27</f>
        <v>1</v>
      </c>
      <c r="AL27" s="40" t="n">
        <f aca="false">AP27/AP30*1000+AQ27/AQ30*100+AT27/AT30*10+AR27/AR30</f>
        <v>50.5</v>
      </c>
      <c r="AM27" s="40" t="n">
        <f aca="false">VLOOKUP(AB27,db_fifarank,2,0)/2000000</f>
        <v>0.000455</v>
      </c>
      <c r="AN27" s="42" t="n">
        <f aca="false">1000*AK27/AK30+100*AJ27+10*AF27/AF30+1*AL27/AL30+AM27</f>
        <v>294.314370857605</v>
      </c>
      <c r="AO27" s="43" t="str">
        <f aca="false">IF(SUM(AC26:AE29)=12,J28,INDEX(T,77,lang))</f>
        <v>2D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1</v>
      </c>
      <c r="AR27" s="44" t="n">
        <f aca="false">SUMPRODUCT(($E$7:$E$54=AB27)*($U$7:$U$54)*($F$7:$F$54))+SUMPRODUCT(($H$7:$H$54=AB27)*($U$7:$U$54)*($G$7:$G$54))</f>
        <v>1</v>
      </c>
      <c r="AS27" s="44" t="n">
        <f aca="false">SUMPRODUCT(($E$7:$E$54=AB27)*($U$7:$U$54)*($G$7:$G$54))+SUMPRODUCT(($H$7:$H$54=AB27)*($U$7:$U$54)*($F$7:$F$54))</f>
        <v>1</v>
      </c>
      <c r="AT27" s="44" t="n">
        <f aca="false">AR27-AS27</f>
        <v>0</v>
      </c>
      <c r="AY27" s="78"/>
      <c r="AZ27" s="82" t="str">
        <f aca="false">AO9</f>
        <v>2A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/>
      <c r="G28" s="65"/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1</v>
      </c>
      <c r="L28" s="76" t="n">
        <f aca="false">VLOOKUP(2,AA26:AK29,3,0)</f>
        <v>0</v>
      </c>
      <c r="M28" s="76" t="n">
        <f aca="false">VLOOKUP(2,AA26:AK29,4,0)</f>
        <v>1</v>
      </c>
      <c r="N28" s="76" t="n">
        <f aca="false">VLOOKUP(2,AA26:AK29,5,0)</f>
        <v>0</v>
      </c>
      <c r="O28" s="76" t="str">
        <f aca="false">VLOOKUP(2,AA26:AK29,6,0) &amp; " - " &amp; VLOOKUP(2,AA26:AK29,7,0)</f>
        <v>1 - 1</v>
      </c>
      <c r="P28" s="77" t="n">
        <f aca="false">L28*3+M28</f>
        <v>1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/>
      </c>
      <c r="T28" s="41" t="str">
        <f aca="false">IF(S28="","",IF(F28&lt;G28,H28&amp;"_win",IF(F28&gt;G28,H28&amp;"_lose",H28&amp;"_draw")))</f>
        <v/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str">
        <f aca="false">IF(OR(F28="",G28=""),"",IF(F28&gt;G28,1,IF(F28&lt;G28,-1,0)))</f>
        <v/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1</v>
      </c>
      <c r="AD28" s="40" t="n">
        <f aca="false">COUNTIF($S$7:$T$54,"=" &amp; AB28 &amp; "_draw")</f>
        <v>0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2</v>
      </c>
      <c r="AG28" s="40" t="n">
        <f aca="false">SUMIF($E$7:$E$54,$AB28,$G$7:$G$54) + SUMIF($H$7:$H$54,$AB28,$F$7:$F$54)</f>
        <v>0</v>
      </c>
      <c r="AH28" s="40" t="n">
        <f aca="false">(AF28-AG28)*100+AK28*10000+AF28</f>
        <v>30202</v>
      </c>
      <c r="AI28" s="40" t="n">
        <f aca="false">AF28-AG28</f>
        <v>2</v>
      </c>
      <c r="AJ28" s="40" t="n">
        <f aca="false">(AI28-AI31)/AI30</f>
        <v>0.8</v>
      </c>
      <c r="AK28" s="40" t="n">
        <f aca="false">AC28*3+AD28</f>
        <v>3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836.667175666667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/>
      <c r="G29" s="65"/>
      <c r="H29" s="66" t="str">
        <f aca="false">AB28</f>
        <v>Croacia</v>
      </c>
      <c r="J29" s="75" t="str">
        <f aca="false">VLOOKUP(3,AA26:AK29,2,0)</f>
        <v>Islandia</v>
      </c>
      <c r="K29" s="76" t="n">
        <f aca="false">L29+M29+N29</f>
        <v>1</v>
      </c>
      <c r="L29" s="76" t="n">
        <f aca="false">VLOOKUP(3,AA26:AK29,3,0)</f>
        <v>0</v>
      </c>
      <c r="M29" s="76" t="n">
        <f aca="false">VLOOKUP(3,AA26:AK29,4,0)</f>
        <v>1</v>
      </c>
      <c r="N29" s="76" t="n">
        <f aca="false">VLOOKUP(3,AA26:AK29,5,0)</f>
        <v>0</v>
      </c>
      <c r="O29" s="76" t="str">
        <f aca="false">VLOOKUP(3,AA26:AK29,6,0) &amp; " - " &amp; VLOOKUP(3,AA26:AK29,7,0)</f>
        <v>1 - 1</v>
      </c>
      <c r="P29" s="77" t="n">
        <f aca="false">L29*3+M29</f>
        <v>1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/>
      </c>
      <c r="T29" s="41" t="str">
        <f aca="false">IF(S29="","",IF(F29&lt;G29,H29&amp;"_win",IF(F29&gt;G29,H29&amp;"_lose",H29&amp;"_draw")))</f>
        <v/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str">
        <f aca="false">IF(OR(F29="",G29=""),"",IF(F29&gt;G29,1,IF(F29&lt;G29,-1,0)))</f>
        <v/>
      </c>
      <c r="AA29" s="40" t="n">
        <f aca="false">COUNTIF(AN26:AN29,CONCATENATE("&gt;=",AN29))</f>
        <v>4</v>
      </c>
      <c r="AB29" s="42" t="str">
        <f aca="false">VLOOKUP("Nigeria",T,lang,0)</f>
        <v>Nigeria</v>
      </c>
      <c r="AC29" s="40" t="n">
        <f aca="false">COUNTIF($S$7:$T$54,"=" &amp; AB29 &amp; "_win")</f>
        <v>0</v>
      </c>
      <c r="AD29" s="40" t="n">
        <f aca="false">COUNTIF($S$7:$T$54,"=" &amp; AB29 &amp; "_draw")</f>
        <v>0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0</v>
      </c>
      <c r="AG29" s="40" t="n">
        <f aca="false">SUMIF($E$7:$E$54,$AB29,$G$7:$G$54) + SUMIF($H$7:$H$54,$AB29,$F$7:$F$54)</f>
        <v>2</v>
      </c>
      <c r="AH29" s="40" t="n">
        <f aca="false">(AF29-AG29)*100+AK29*10000+AF29</f>
        <v>-200</v>
      </c>
      <c r="AI29" s="40" t="n">
        <f aca="false">AF29-AG29</f>
        <v>-2</v>
      </c>
      <c r="AJ29" s="40" t="n">
        <f aca="false">(AI29-AI31)/AI30</f>
        <v>0</v>
      </c>
      <c r="AK29" s="40" t="n">
        <f aca="false">AC29*3+AD29</f>
        <v>0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0.00032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/>
      <c r="G30" s="65"/>
      <c r="H30" s="66" t="str">
        <f aca="false">AB27</f>
        <v>Islandia</v>
      </c>
      <c r="J30" s="87" t="str">
        <f aca="false">VLOOKUP(4,AA26:AK29,2,0)</f>
        <v>Nigeria</v>
      </c>
      <c r="K30" s="88" t="n">
        <f aca="false">L30+M30+N30</f>
        <v>1</v>
      </c>
      <c r="L30" s="88" t="n">
        <f aca="false">VLOOKUP(4,AA26:AK29,3,0)</f>
        <v>0</v>
      </c>
      <c r="M30" s="88" t="n">
        <f aca="false">VLOOKUP(4,AA26:AK29,4,0)</f>
        <v>0</v>
      </c>
      <c r="N30" s="88" t="n">
        <f aca="false">VLOOKUP(4,AA26:AK29,5,0)</f>
        <v>1</v>
      </c>
      <c r="O30" s="88" t="str">
        <f aca="false">VLOOKUP(4,AA26:AK29,6,0) &amp; " - " &amp; VLOOKUP(4,AA26:AK29,7,0)</f>
        <v>0 - 2</v>
      </c>
      <c r="P30" s="89" t="n">
        <f aca="false">L30*3+M30</f>
        <v>0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/>
      </c>
      <c r="T30" s="41" t="str">
        <f aca="false">IF(S30="","",IF(F30&lt;G30,H30&amp;"_win",IF(F30&gt;G30,H30&amp;"_lose",H30&amp;"_draw")))</f>
        <v/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str">
        <f aca="false">IF(OR(F30="",G30=""),"",IF(F30&gt;G30,1,IF(F30&lt;G30,-1,0)))</f>
        <v/>
      </c>
      <c r="AC30" s="40" t="n">
        <f aca="false">MAX(AC26:AC29)-MIN(AC26:AC29)+1</f>
        <v>2</v>
      </c>
      <c r="AD30" s="40" t="n">
        <f aca="false">MAX(AD26:AD29)-MIN(AD26:AD29)+1</f>
        <v>2</v>
      </c>
      <c r="AE30" s="40" t="n">
        <f aca="false">MAX(AE26:AE29)-MIN(AE26:AE29)+1</f>
        <v>2</v>
      </c>
      <c r="AF30" s="40" t="n">
        <f aca="false">MAX(AF26:AF29)-MIN(AF26:AF29)+1</f>
        <v>3</v>
      </c>
      <c r="AG30" s="40" t="n">
        <f aca="false">MAX(AG26:AG29)-MIN(AG26:AG29)+1</f>
        <v>3</v>
      </c>
      <c r="AH30" s="40" t="n">
        <f aca="false">MAX(AH26:AH29)-AH31+1</f>
        <v>30403</v>
      </c>
      <c r="AI30" s="40" t="n">
        <f aca="false">MAX(AI26:AI29)-AI31+1</f>
        <v>5</v>
      </c>
      <c r="AK30" s="40" t="n">
        <f aca="false">MAX(AK26:AK29)-MIN(AK26:AK29)+1</f>
        <v>4</v>
      </c>
      <c r="AL30" s="40" t="n">
        <f aca="false">MAX(AL26:AL29)-MIN(AL26:AL29)+1</f>
        <v>51.5</v>
      </c>
      <c r="AP30" s="40" t="n">
        <f aca="false">MAX(AP26:AP29)-MIN(AP26:AP29)+1</f>
        <v>1</v>
      </c>
      <c r="AQ30" s="40" t="n">
        <f aca="false">MAX(AQ26:AQ29)-MIN(AQ26:AQ29)+1</f>
        <v>2</v>
      </c>
      <c r="AR30" s="40" t="n">
        <f aca="false">MAX(AR26:AR29)-MIN(AR26:AR29)+1</f>
        <v>2</v>
      </c>
      <c r="AS30" s="40" t="n">
        <f aca="false">MAX(AS26:AS29)-MIN(AS26:AS29)+1</f>
        <v>2</v>
      </c>
      <c r="AT30" s="40" t="n">
        <f aca="false">MAX(AT26:AT29)-MIN(AT26:AT29)+1</f>
        <v>1</v>
      </c>
      <c r="AY30" s="78" t="n">
        <v>52</v>
      </c>
      <c r="AZ30" s="79" t="str">
        <f aca="false">AO26</f>
        <v>1D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/>
      <c r="G31" s="65"/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/>
      </c>
      <c r="T31" s="41" t="str">
        <f aca="false">IF(S31="","",IF(F31&lt;G31,H31&amp;"_win",IF(F31&gt;G31,H31&amp;"_lose",H31&amp;"_draw")))</f>
        <v/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str">
        <f aca="false">IF(OR(F31="",G31=""),"",IF(F31&gt;G31,1,IF(F31&lt;G31,-1,0)))</f>
        <v/>
      </c>
      <c r="AH31" s="40" t="n">
        <f aca="false">MIN(AH26:AH29)</f>
        <v>-200</v>
      </c>
      <c r="AI31" s="40" t="n">
        <f aca="false">MIN(AI26:AI29)</f>
        <v>-2</v>
      </c>
      <c r="AY31" s="78"/>
      <c r="AZ31" s="82" t="str">
        <f aca="false">AO21</f>
        <v>2C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/>
      <c r="G32" s="65"/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/>
      </c>
      <c r="T32" s="41" t="str">
        <f aca="false">IF(S32="","",IF(F32&lt;G32,H32&amp;"_win",IF(F32&gt;G32,H32&amp;"_lose",H32&amp;"_draw")))</f>
        <v/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str">
        <f aca="false">IF(OR(F32="",G32=""),"",IF(F32&gt;G32,1,IF(F32&lt;G32,-1,0)))</f>
        <v/>
      </c>
      <c r="AA32" s="40" t="n">
        <f aca="false">COUNTIF(AN32:AN35,CONCATENATE("&gt;=",AN32))</f>
        <v>2</v>
      </c>
      <c r="AB32" s="42" t="str">
        <f aca="false">VLOOKUP("Brazil",T,lang,0)</f>
        <v>Brasil</v>
      </c>
      <c r="AC32" s="40" t="n">
        <f aca="false">COUNTIF($S$7:$T$54,"=" &amp; AB32 &amp; "_win")</f>
        <v>0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1</v>
      </c>
      <c r="AG32" s="40" t="n">
        <f aca="false">SUMIF($E$7:$E$54,$AB32,$G$7:$G$54) + SUMIF($H$7:$H$54,$AB32,$F$7:$F$54)</f>
        <v>1</v>
      </c>
      <c r="AH32" s="40" t="n">
        <f aca="false">(AF32-AG32)*100+AK32*10000+AF32</f>
        <v>10001</v>
      </c>
      <c r="AI32" s="40" t="n">
        <f aca="false">AF32-AG32</f>
        <v>0</v>
      </c>
      <c r="AJ32" s="40" t="n">
        <f aca="false">(AI32-AI37)/AI36</f>
        <v>0.333333333333333</v>
      </c>
      <c r="AK32" s="40" t="n">
        <f aca="false">AC32*3+AD32</f>
        <v>1</v>
      </c>
      <c r="AL32" s="40" t="n">
        <f aca="false">AP32/AP36*1000+AQ32/AQ36*100+AT32/AT36*10+AR32/AR36</f>
        <v>50.5</v>
      </c>
      <c r="AM32" s="40" t="n">
        <f aca="false">VLOOKUP(AB32,db_fifarank,2,0)/2000000</f>
        <v>0.0007415</v>
      </c>
      <c r="AN32" s="42" t="n">
        <f aca="false">1000*AK32/AK36+100*AJ32+10*AF32/AF36+1*AL32/AL36+AM32</f>
        <v>289.314657357605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1</v>
      </c>
      <c r="AR32" s="44" t="n">
        <f aca="false">SUMPRODUCT(($E$7:$E$54=AB32)*($U$7:$U$54)*($F$7:$F$54))+SUMPRODUCT(($H$7:$H$54=AB32)*($U$7:$U$54)*($G$7:$G$54))</f>
        <v>1</v>
      </c>
      <c r="AS32" s="44" t="n">
        <f aca="false">SUMPRODUCT(($E$7:$E$54=AB32)*($U$7:$U$54)*($G$7:$G$54))+SUMPRODUCT(($H$7:$H$54=AB32)*($U$7:$U$54)*($F$7:$F$54))</f>
        <v>1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/>
      <c r="G33" s="65"/>
      <c r="H33" s="66" t="str">
        <f aca="false">AB40</f>
        <v>Suecia</v>
      </c>
      <c r="J33" s="71" t="str">
        <f aca="false">VLOOKUP(1,AA32:AK35,2,0)</f>
        <v>Serbia</v>
      </c>
      <c r="K33" s="72" t="n">
        <f aca="false">L33+M33+N33</f>
        <v>1</v>
      </c>
      <c r="L33" s="72" t="n">
        <f aca="false">VLOOKUP(1,AA32:AK35,3,0)</f>
        <v>1</v>
      </c>
      <c r="M33" s="72" t="n">
        <f aca="false">VLOOKUP(1,AA32:AK35,4,0)</f>
        <v>0</v>
      </c>
      <c r="N33" s="72" t="n">
        <f aca="false">VLOOKUP(1,AA32:AK35,5,0)</f>
        <v>0</v>
      </c>
      <c r="O33" s="72" t="str">
        <f aca="false">VLOOKUP(1,AA32:AK35,6,0) &amp; " - " &amp; VLOOKUP(1,AA32:AK35,7,0)</f>
        <v>1 - 0</v>
      </c>
      <c r="P33" s="73" t="n">
        <f aca="false">L33*3+M33</f>
        <v>3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/>
      </c>
      <c r="T33" s="41" t="str">
        <f aca="false">IF(S33="","",IF(F33&lt;G33,H33&amp;"_win",IF(F33&gt;G33,H33&amp;"_lose",H33&amp;"_draw")))</f>
        <v/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str">
        <f aca="false">IF(OR(F33="",G33=""),"",IF(F33&gt;G33,1,IF(F33&lt;G33,-1,0)))</f>
        <v/>
      </c>
      <c r="AA33" s="40" t="n">
        <f aca="false">COUNTIF(AN32:AN35,CONCATENATE("&gt;=",AN33))</f>
        <v>3</v>
      </c>
      <c r="AB33" s="42" t="str">
        <f aca="false">VLOOKUP("Switzerland",T,lang,0)</f>
        <v>Suiza</v>
      </c>
      <c r="AC33" s="40" t="n">
        <f aca="false">COUNTIF($S$7:$T$54,"=" &amp; AB33 &amp; "_win")</f>
        <v>0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1</v>
      </c>
      <c r="AG33" s="40" t="n">
        <f aca="false">SUMIF($E$7:$E$54,$AB33,$G$7:$G$54) + SUMIF($H$7:$H$54,$AB33,$F$7:$F$54)</f>
        <v>1</v>
      </c>
      <c r="AH33" s="40" t="n">
        <f aca="false">(AF33-AG33)*100+AK33*10000+AF33</f>
        <v>10001</v>
      </c>
      <c r="AI33" s="40" t="n">
        <f aca="false">AF33-AG33</f>
        <v>0</v>
      </c>
      <c r="AJ33" s="40" t="n">
        <f aca="false">(AI33-AI37)/AI36</f>
        <v>0.333333333333333</v>
      </c>
      <c r="AK33" s="40" t="n">
        <f aca="false">AC33*3+AD33</f>
        <v>1</v>
      </c>
      <c r="AL33" s="40" t="n">
        <f aca="false">AP33/AP36*1000+AQ33/AQ36*100+AT33/AT36*10+AR33/AR36</f>
        <v>50.5</v>
      </c>
      <c r="AM33" s="40" t="n">
        <f aca="false">VLOOKUP(AB33,db_fifarank,2,0)/2000000</f>
        <v>0.000595</v>
      </c>
      <c r="AN33" s="42" t="n">
        <f aca="false">1000*AK33/AK36+100*AJ33+10*AF33/AF36+1*AL33/AL36+AM33</f>
        <v>289.314510857605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1</v>
      </c>
      <c r="AR33" s="44" t="n">
        <f aca="false">SUMPRODUCT(($E$7:$E$54=AB33)*($U$7:$U$54)*($F$7:$F$54))+SUMPRODUCT(($H$7:$H$54=AB33)*($U$7:$U$54)*($G$7:$G$54))</f>
        <v>1</v>
      </c>
      <c r="AS33" s="44" t="n">
        <f aca="false">SUMPRODUCT(($E$7:$E$54=AB33)*($U$7:$U$54)*($G$7:$G$54))+SUMPRODUCT(($H$7:$H$54=AB33)*($U$7:$U$54)*($F$7:$F$54))</f>
        <v>1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/>
      <c r="G34" s="65"/>
      <c r="H34" s="66" t="str">
        <f aca="false">AB39</f>
        <v>México</v>
      </c>
      <c r="J34" s="75" t="str">
        <f aca="false">VLOOKUP(2,AA32:AK35,2,0)</f>
        <v>Brasil</v>
      </c>
      <c r="K34" s="76" t="n">
        <f aca="false">L34+M34+N34</f>
        <v>1</v>
      </c>
      <c r="L34" s="76" t="n">
        <f aca="false">VLOOKUP(2,AA32:AK35,3,0)</f>
        <v>0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1 - 1</v>
      </c>
      <c r="P34" s="77" t="n">
        <f aca="false">L34*3+M34</f>
        <v>1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/>
      </c>
      <c r="T34" s="41" t="str">
        <f aca="false">IF(S34="","",IF(F34&lt;G34,H34&amp;"_win",IF(F34&gt;G34,H34&amp;"_lose",H34&amp;"_draw")))</f>
        <v/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str">
        <f aca="false">IF(OR(F34="",G34=""),"",IF(F34&gt;G34,1,IF(F34&lt;G34,-1,0)))</f>
        <v/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1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1</v>
      </c>
      <c r="AH34" s="40" t="n">
        <f aca="false">(AF34-AG34)*100+AK34*10000+AF34</f>
        <v>-100</v>
      </c>
      <c r="AI34" s="40" t="n">
        <f aca="false">AF34-AG34</f>
        <v>-1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/>
      <c r="G35" s="65"/>
      <c r="H35" s="66" t="str">
        <f aca="false">AB46</f>
        <v>Túnez</v>
      </c>
      <c r="J35" s="75" t="str">
        <f aca="false">VLOOKUP(3,AA32:AK35,2,0)</f>
        <v>Suiza</v>
      </c>
      <c r="K35" s="76" t="n">
        <f aca="false">L35+M35+N35</f>
        <v>1</v>
      </c>
      <c r="L35" s="76" t="n">
        <f aca="false">VLOOKUP(3,AA32:AK35,3,0)</f>
        <v>0</v>
      </c>
      <c r="M35" s="76" t="n">
        <f aca="false">VLOOKUP(3,AA32:AK35,4,0)</f>
        <v>1</v>
      </c>
      <c r="N35" s="76" t="n">
        <f aca="false">VLOOKUP(3,AA32:AK35,5,0)</f>
        <v>0</v>
      </c>
      <c r="O35" s="76" t="str">
        <f aca="false">VLOOKUP(3,AA32:AK35,6,0) &amp; " - " &amp; VLOOKUP(3,AA32:AK35,7,0)</f>
        <v>1 - 1</v>
      </c>
      <c r="P35" s="77" t="n">
        <f aca="false">L35*3+M35</f>
        <v>1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/>
      </c>
      <c r="T35" s="41" t="str">
        <f aca="false">IF(S35="","",IF(F35&lt;G35,H35&amp;"_win",IF(F35&gt;G35,H35&amp;"_lose",H35&amp;"_draw")))</f>
        <v/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str">
        <f aca="false">IF(OR(F35="",G35=""),"",IF(F35&gt;G35,1,IF(F35&lt;G35,-1,0)))</f>
        <v/>
      </c>
      <c r="AA35" s="40" t="n">
        <f aca="false">COUNTIF(AN32:AN35,CONCATENATE("&gt;=",AN35))</f>
        <v>1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0</v>
      </c>
      <c r="AF35" s="40" t="n">
        <f aca="false">SUMIF($E$7:$E$54,$AB35,$F$7:$F$54) + SUMIF($H$7:$H$54,$AB35,$G$7:$G$54)</f>
        <v>1</v>
      </c>
      <c r="AG35" s="40" t="n">
        <f aca="false">SUMIF($E$7:$E$54,$AB35,$G$7:$G$54) + SUMIF($H$7:$H$54,$AB35,$F$7:$F$54)</f>
        <v>0</v>
      </c>
      <c r="AH35" s="40" t="n">
        <f aca="false">(AF35-AG35)*100+AK35*10000+AF35</f>
        <v>30101</v>
      </c>
      <c r="AI35" s="40" t="n">
        <f aca="false">AF35-AG35</f>
        <v>1</v>
      </c>
      <c r="AJ35" s="40" t="n">
        <f aca="false">(AI35-AI37)/AI36</f>
        <v>0.666666666666667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821.667044666667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/>
      <c r="G36" s="65"/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1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1</v>
      </c>
      <c r="O36" s="88" t="str">
        <f aca="false">VLOOKUP(4,AA32:AK35,6,0) &amp; " - " &amp; VLOOKUP(4,AA32:AK35,7,0)</f>
        <v>0 - 1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/>
      </c>
      <c r="T36" s="41" t="str">
        <f aca="false">IF(S36="","",IF(F36&lt;G36,H36&amp;"_win",IF(F36&gt;G36,H36&amp;"_lose",H36&amp;"_draw")))</f>
        <v/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str">
        <f aca="false">IF(OR(F36="",G36=""),"",IF(F36&gt;G36,1,IF(F36&lt;G36,-1,0)))</f>
        <v/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2</v>
      </c>
      <c r="AF36" s="40" t="n">
        <f aca="false">MAX(AF32:AF35)-MIN(AF32:AF35)+1</f>
        <v>2</v>
      </c>
      <c r="AG36" s="40" t="n">
        <f aca="false">MAX(AG32:AG35)-MIN(AG32:AG35)+1</f>
        <v>2</v>
      </c>
      <c r="AH36" s="40" t="n">
        <f aca="false">MAX(AH32:AH35)-AH37+1</f>
        <v>30202</v>
      </c>
      <c r="AI36" s="40" t="n">
        <f aca="false">MAX(AI32:AI35)-AI37+1</f>
        <v>3</v>
      </c>
      <c r="AK36" s="40" t="n">
        <f aca="false">MAX(AK32:AK35)-MIN(AK32:AK35)+1</f>
        <v>4</v>
      </c>
      <c r="AL36" s="40" t="n">
        <f aca="false">MAX(AL32:AL35)-MIN(AL32:AL35)+1</f>
        <v>51.5</v>
      </c>
      <c r="AP36" s="40" t="n">
        <f aca="false">MAX(AP32:AP35)-MIN(AP32:AP35)+1</f>
        <v>1</v>
      </c>
      <c r="AQ36" s="40" t="n">
        <f aca="false">MAX(AQ32:AQ35)-MIN(AQ32:AQ35)+1</f>
        <v>2</v>
      </c>
      <c r="AR36" s="40" t="n">
        <f aca="false">MAX(AR32:AR35)-MIN(AR32:AR35)+1</f>
        <v>2</v>
      </c>
      <c r="AS36" s="40" t="n">
        <f aca="false">MAX(AS32:AS35)-MIN(AS32:AS35)+1</f>
        <v>2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/>
      <c r="G37" s="65"/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/>
      </c>
      <c r="T37" s="41" t="str">
        <f aca="false">IF(S37="","",IF(F37&lt;G37,H37&amp;"_win",IF(F37&gt;G37,H37&amp;"_lose",H37&amp;"_draw")))</f>
        <v/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str">
        <f aca="false">IF(OR(F37="",G37=""),"",IF(F37&gt;G37,1,IF(F37&lt;G37,-1,0)))</f>
        <v/>
      </c>
      <c r="AH37" s="40" t="n">
        <f aca="false">MIN(AH32:AH35)</f>
        <v>-100</v>
      </c>
      <c r="AI37" s="40" t="n">
        <f aca="false">MIN(AI32:AI35)</f>
        <v>-1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/>
      <c r="G38" s="65"/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/>
      </c>
      <c r="T38" s="41" t="str">
        <f aca="false">IF(S38="","",IF(F38&lt;G38,H38&amp;"_win",IF(F38&gt;G38,H38&amp;"_lose",H38&amp;"_draw")))</f>
        <v/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str">
        <f aca="false">IF(OR(F38="",G38=""),"",IF(F38&gt;G38,1,IF(F38&lt;G38,-1,0)))</f>
        <v/>
      </c>
      <c r="AA38" s="40" t="n">
        <f aca="false">COUNTIF(AN38:AN41,CONCATENATE("&gt;=",AN38))</f>
        <v>3</v>
      </c>
      <c r="AB38" s="42" t="str">
        <f aca="false">VLOOKUP("Germany",T,lang,0)</f>
        <v>Alemania</v>
      </c>
      <c r="AC38" s="40" t="n">
        <f aca="false">COUNTIF($S$7:$T$54,"=" &amp; AB38 &amp; "_win")</f>
        <v>0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0</v>
      </c>
      <c r="AG38" s="40" t="n">
        <f aca="false">SUMIF($E$7:$E$54,$AB38,$G$7:$G$54) + SUMIF($H$7:$H$54,$AB38,$F$7:$F$54)</f>
        <v>1</v>
      </c>
      <c r="AH38" s="40" t="n">
        <f aca="false">(AF38-AG38)*100+AK38*10000+AF38</f>
        <v>-100</v>
      </c>
      <c r="AI38" s="40" t="n">
        <f aca="false">AF38-AG38</f>
        <v>-1</v>
      </c>
      <c r="AJ38" s="40" t="n">
        <f aca="false">(AI38-AI43)/AI42</f>
        <v>0</v>
      </c>
      <c r="AK38" s="40" t="n">
        <f aca="false">AC38*3+AD38</f>
        <v>0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0.000801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/>
      <c r="G39" s="65"/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1</v>
      </c>
      <c r="L39" s="72" t="n">
        <f aca="false">VLOOKUP(1,AA38:AK41,3,0)</f>
        <v>1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1 - 0</v>
      </c>
      <c r="P39" s="73" t="n">
        <f aca="false">L39*3+M39</f>
        <v>3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/>
      </c>
      <c r="T39" s="41" t="str">
        <f aca="false">IF(S39="","",IF(F39&lt;G39,H39&amp;"_win",IF(F39&gt;G39,H39&amp;"_lose",H39&amp;"_draw")))</f>
        <v/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str">
        <f aca="false">IF(OR(F39="",G39=""),"",IF(F39&gt;G39,1,IF(F39&lt;G39,-1,0)))</f>
        <v/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1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1</v>
      </c>
      <c r="AG39" s="40" t="n">
        <f aca="false">SUMIF($E$7:$E$54,$AB39,$G$7:$G$54) + SUMIF($H$7:$H$54,$AB39,$F$7:$F$54)</f>
        <v>0</v>
      </c>
      <c r="AH39" s="40" t="n">
        <f aca="false">(AF39-AG39)*100+AK39*10000+AF39</f>
        <v>30101</v>
      </c>
      <c r="AI39" s="40" t="n">
        <f aca="false">AF39-AG39</f>
        <v>1</v>
      </c>
      <c r="AJ39" s="40" t="n">
        <f aca="false">(AI39-AI43)/AI42</f>
        <v>0.666666666666667</v>
      </c>
      <c r="AK39" s="40" t="n">
        <f aca="false">AC39*3+AD39</f>
        <v>3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821.667182666667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/>
      <c r="G40" s="65"/>
      <c r="H40" s="66" t="str">
        <f aca="false">AB10</f>
        <v>Egipto</v>
      </c>
      <c r="J40" s="75" t="str">
        <f aca="false">VLOOKUP(2,AA38:AK41,2,0)</f>
        <v>Suecia</v>
      </c>
      <c r="K40" s="76" t="n">
        <f aca="false">L40+M40+N40</f>
        <v>1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0</v>
      </c>
      <c r="O40" s="76" t="str">
        <f aca="false">VLOOKUP(2,AA38:AK41,6,0) &amp; " - " &amp; VLOOKUP(2,AA38:AK41,7,0)</f>
        <v>1 - 0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/>
      </c>
      <c r="T40" s="41" t="str">
        <f aca="false">IF(S40="","",IF(F40&lt;G40,H40&amp;"_win",IF(F40&gt;G40,H40&amp;"_lose",H40&amp;"_draw")))</f>
        <v/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str">
        <f aca="false">IF(OR(F40="",G40=""),"",IF(F40&gt;G40,1,IF(F40&lt;G40,-1,0)))</f>
        <v/>
      </c>
      <c r="AA40" s="40" t="n">
        <f aca="false">COUNTIF(AN38:AN41,CONCATENATE("&gt;=",AN40))</f>
        <v>2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0</v>
      </c>
      <c r="AF40" s="40" t="n">
        <f aca="false">SUMIF($E$7:$E$54,$AB40,$F$7:$F$54) + SUMIF($H$7:$H$54,$AB40,$G$7:$G$54)</f>
        <v>1</v>
      </c>
      <c r="AG40" s="40" t="n">
        <f aca="false">SUMIF($E$7:$E$54,$AB40,$G$7:$G$54) + SUMIF($H$7:$H$54,$AB40,$F$7:$F$54)</f>
        <v>0</v>
      </c>
      <c r="AH40" s="40" t="n">
        <f aca="false">(AF40-AG40)*100+AK40*10000+AF40</f>
        <v>30101</v>
      </c>
      <c r="AI40" s="40" t="n">
        <f aca="false">AF40-AG40</f>
        <v>1</v>
      </c>
      <c r="AJ40" s="40" t="n">
        <f aca="false">(AI40-AI43)/AI42</f>
        <v>0.666666666666667</v>
      </c>
      <c r="AK40" s="40" t="n">
        <f aca="false">AC40*3+AD40</f>
        <v>3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821.667165666667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/>
      <c r="G41" s="65"/>
      <c r="H41" s="66" t="str">
        <f aca="false">AB14</f>
        <v>Portugal</v>
      </c>
      <c r="J41" s="75" t="str">
        <f aca="false">VLOOKUP(3,AA38:AK41,2,0)</f>
        <v>Alemania</v>
      </c>
      <c r="K41" s="76" t="n">
        <f aca="false">L41+M41+N41</f>
        <v>1</v>
      </c>
      <c r="L41" s="76" t="n">
        <f aca="false">VLOOKUP(3,AA38:AK41,3,0)</f>
        <v>0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0 - 1</v>
      </c>
      <c r="P41" s="77" t="n">
        <f aca="false">L41*3+M41</f>
        <v>0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/>
      </c>
      <c r="T41" s="41" t="str">
        <f aca="false">IF(S41="","",IF(F41&lt;G41,H41&amp;"_win",IF(F41&gt;G41,H41&amp;"_lose",H41&amp;"_draw")))</f>
        <v/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str">
        <f aca="false">IF(OR(F41="",G41=""),"",IF(F41&gt;G41,1,IF(F41&lt;G41,-1,0)))</f>
        <v/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0</v>
      </c>
      <c r="AG41" s="40" t="n">
        <f aca="false">SUMIF($E$7:$E$54,$AB41,$G$7:$G$54) + SUMIF($H$7:$H$54,$AB41,$F$7:$F$54)</f>
        <v>1</v>
      </c>
      <c r="AH41" s="40" t="n">
        <f aca="false">(AF41-AG41)*100+AK41*10000+AF41</f>
        <v>-100</v>
      </c>
      <c r="AI41" s="40" t="n">
        <f aca="false">AF41-AG41</f>
        <v>-1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0.000285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99" t="str">
        <f aca="false">INDEX(T,102,lang)</f>
        <v>Campeón 2018</v>
      </c>
      <c r="BK41" s="99"/>
      <c r="BL41" s="99"/>
      <c r="BM41" s="99"/>
      <c r="BN41" s="99"/>
      <c r="BO41" s="100" t="str">
        <f aca="false">S85</f>
        <v/>
      </c>
      <c r="BP41" s="100"/>
      <c r="BQ41" s="100"/>
      <c r="BR41" s="100"/>
      <c r="BS41" s="100"/>
      <c r="BT41" s="100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/>
      <c r="G42" s="65"/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1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1</v>
      </c>
      <c r="O42" s="88" t="str">
        <f aca="false">VLOOKUP(4,AA38:AK41,6,0) &amp; " - " &amp; VLOOKUP(4,AA38:AK41,7,0)</f>
        <v>0 - 1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/>
      </c>
      <c r="T42" s="41" t="str">
        <f aca="false">IF(S42="","",IF(F42&lt;G42,H42&amp;"_win",IF(F42&gt;G42,H42&amp;"_lose",H42&amp;"_draw")))</f>
        <v/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str">
        <f aca="false">IF(OR(F42="",G42=""),"",IF(F42&gt;G42,1,IF(F42&lt;G42,-1,0)))</f>
        <v/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2</v>
      </c>
      <c r="AG42" s="40" t="n">
        <f aca="false">MAX(AG38:AG41)-MIN(AG38:AG41)+1</f>
        <v>2</v>
      </c>
      <c r="AH42" s="40" t="n">
        <f aca="false">MAX(AH38:AH41)-AH43+1</f>
        <v>30202</v>
      </c>
      <c r="AI42" s="40" t="n">
        <f aca="false">MAX(AI38:AI41)-AI43+1</f>
        <v>3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99"/>
      <c r="BK42" s="99"/>
      <c r="BL42" s="99"/>
      <c r="BM42" s="99"/>
      <c r="BN42" s="99"/>
      <c r="BO42" s="100"/>
      <c r="BP42" s="100"/>
      <c r="BQ42" s="100"/>
      <c r="BR42" s="100"/>
      <c r="BS42" s="100"/>
      <c r="BT42" s="100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/>
      <c r="G43" s="65"/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/>
      </c>
      <c r="T43" s="41" t="str">
        <f aca="false">IF(S43="","",IF(F43&lt;G43,H43&amp;"_win",IF(F43&gt;G43,H43&amp;"_lose",H43&amp;"_draw")))</f>
        <v/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str">
        <f aca="false">IF(OR(F43="",G43=""),"",IF(F43&gt;G43,1,IF(F43&lt;G43,-1,0)))</f>
        <v/>
      </c>
      <c r="AH43" s="40" t="n">
        <f aca="false">MIN(AH38:AH41)</f>
        <v>-100</v>
      </c>
      <c r="AI43" s="40" t="n">
        <f aca="false">MIN(AI38:AI41)</f>
        <v>-1</v>
      </c>
      <c r="AY43" s="101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/>
      <c r="G44" s="65"/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/>
      </c>
      <c r="T44" s="41" t="str">
        <f aca="false">IF(S44="","",IF(F44&lt;G44,H44&amp;"_win",IF(F44&gt;G44,H44&amp;"_lose",H44&amp;"_draw")))</f>
        <v/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str">
        <f aca="false">IF(OR(F44="",G44=""),"",IF(F44&gt;G44,1,IF(F44&lt;G44,-1,0)))</f>
        <v/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1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3</v>
      </c>
      <c r="AG44" s="40" t="n">
        <f aca="false">SUMIF($E$7:$E$54,$AB44,$G$7:$G$54) + SUMIF($H$7:$H$54,$AB44,$F$7:$F$54)</f>
        <v>0</v>
      </c>
      <c r="AH44" s="40" t="n">
        <f aca="false">(AF44-AG44)*100+AK44*10000+AF44</f>
        <v>30303</v>
      </c>
      <c r="AI44" s="40" t="n">
        <f aca="false">AF44-AG44</f>
        <v>3</v>
      </c>
      <c r="AJ44" s="40" t="n">
        <f aca="false">(AI44-AI49)/AI48</f>
        <v>0.857142857142857</v>
      </c>
      <c r="AK44" s="40" t="n">
        <f aca="false">AC44*3+AD44</f>
        <v>3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843.214948214286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/>
      <c r="G45" s="65"/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1</v>
      </c>
      <c r="L45" s="72" t="n">
        <f aca="false">VLOOKUP(1,AA44:AK47,3,0)</f>
        <v>1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3 - 0</v>
      </c>
      <c r="P45" s="73" t="n">
        <f aca="false">L45*3+M45</f>
        <v>3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/>
      </c>
      <c r="T45" s="41" t="str">
        <f aca="false">IF(S45="","",IF(F45&lt;G45,H45&amp;"_win",IF(F45&gt;G45,H45&amp;"_lose",H45&amp;"_draw")))</f>
        <v/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str">
        <f aca="false">IF(OR(F45="",G45=""),"",IF(F45&gt;G45,1,IF(F45&lt;G45,-1,0)))</f>
        <v/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1</v>
      </c>
      <c r="AF45" s="40" t="n">
        <f aca="false">SUMIF($E$7:$E$54,$AB45,$F$7:$F$54) + SUMIF($H$7:$H$54,$AB45,$G$7:$G$54)</f>
        <v>0</v>
      </c>
      <c r="AG45" s="40" t="n">
        <f aca="false">SUMIF($E$7:$E$54,$AB45,$G$7:$G$54) + SUMIF($H$7:$H$54,$AB45,$F$7:$F$54)</f>
        <v>3</v>
      </c>
      <c r="AH45" s="40" t="n">
        <f aca="false">(AF45-AG45)*100+AK45*10000+AF45</f>
        <v>-300</v>
      </c>
      <c r="AI45" s="40" t="n">
        <f aca="false">AF45-AG45</f>
        <v>-3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0.0003105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/>
      <c r="G46" s="65"/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1</v>
      </c>
      <c r="L46" s="76" t="n">
        <f aca="false">VLOOKUP(2,AA44:AK47,3,0)</f>
        <v>1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2 - 1</v>
      </c>
      <c r="P46" s="77" t="n">
        <f aca="false">L46*3+M46</f>
        <v>3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/>
      </c>
      <c r="T46" s="41" t="str">
        <f aca="false">IF(S46="","",IF(F46&lt;G46,H46&amp;"_win",IF(F46&gt;G46,H46&amp;"_lose",H46&amp;"_draw")))</f>
        <v/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str">
        <f aca="false">IF(OR(F46="",G46=""),"",IF(F46&gt;G46,1,IF(F46&lt;G46,-1,0)))</f>
        <v/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1</v>
      </c>
      <c r="AF46" s="40" t="n">
        <f aca="false">SUMIF($E$7:$E$54,$AB46,$F$7:$F$54) + SUMIF($H$7:$H$54,$AB46,$G$7:$G$54)</f>
        <v>1</v>
      </c>
      <c r="AG46" s="40" t="n">
        <f aca="false">SUMIF($E$7:$E$54,$AB46,$G$7:$G$54) + SUMIF($H$7:$H$54,$AB46,$F$7:$F$54)</f>
        <v>2</v>
      </c>
      <c r="AH46" s="40" t="n">
        <f aca="false">(AF46-AG46)*100+AK46*10000+AF46</f>
        <v>-99</v>
      </c>
      <c r="AI46" s="40" t="n">
        <f aca="false">AF46-AG46</f>
        <v>-1</v>
      </c>
      <c r="AJ46" s="40" t="n">
        <f aca="false">(AI46-AI49)/AI48</f>
        <v>0.285714285714286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31.0718475714286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2" t="s">
        <v>2559</v>
      </c>
      <c r="AZ46" s="102"/>
      <c r="BA46" s="102"/>
      <c r="BB46" s="102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1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1</v>
      </c>
      <c r="O47" s="76" t="str">
        <f aca="false">VLOOKUP(3,AA44:AK47,6,0) &amp; " - " &amp; VLOOKUP(3,AA44:AK47,7,0)</f>
        <v>1 - 2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1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2</v>
      </c>
      <c r="AG47" s="40" t="n">
        <f aca="false">SUMIF($E$7:$E$54,$AB47,$G$7:$G$54) + SUMIF($H$7:$H$54,$AB47,$F$7:$F$54)</f>
        <v>1</v>
      </c>
      <c r="AH47" s="40" t="n">
        <f aca="false">(AF47-AG47)*100+AK47*10000+AF47</f>
        <v>30102</v>
      </c>
      <c r="AI47" s="40" t="n">
        <f aca="false">AF47-AG47</f>
        <v>1</v>
      </c>
      <c r="AJ47" s="40" t="n">
        <f aca="false">(AI47-AI49)/AI48</f>
        <v>0.571428571428571</v>
      </c>
      <c r="AK47" s="40" t="n">
        <f aca="false">AC47*3+AD47</f>
        <v>3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812.143380642857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2"/>
      <c r="AZ47" s="102"/>
      <c r="BA47" s="102"/>
      <c r="BB47" s="102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1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1</v>
      </c>
      <c r="O48" s="88" t="str">
        <f aca="false">VLOOKUP(4,AA44:AK47,6,0) &amp; " - " &amp; VLOOKUP(4,AA44:AK47,7,0)</f>
        <v>0 - 3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2</v>
      </c>
      <c r="AD48" s="40" t="n">
        <f aca="false">MAX(AD44:AD47)-MIN(AD44:AD47)+1</f>
        <v>1</v>
      </c>
      <c r="AE48" s="40" t="n">
        <f aca="false">MAX(AE44:AE47)-MIN(AE44:AE47)+1</f>
        <v>2</v>
      </c>
      <c r="AF48" s="40" t="n">
        <f aca="false">MAX(AF44:AF47)-MIN(AF44:AF47)+1</f>
        <v>4</v>
      </c>
      <c r="AG48" s="40" t="n">
        <f aca="false">MAX(AG44:AG47)-MIN(AG44:AG47)+1</f>
        <v>4</v>
      </c>
      <c r="AH48" s="40" t="n">
        <f aca="false">MAX(AH44:AH47)-AH49+1</f>
        <v>30604</v>
      </c>
      <c r="AI48" s="40" t="n">
        <f aca="false">MAX(AI44:AI47)-AI49+1</f>
        <v>7</v>
      </c>
      <c r="AK48" s="40" t="n">
        <f aca="false">MAX(AK44:AK47)-MIN(AK44:AK47)+1</f>
        <v>4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2"/>
      <c r="AZ48" s="102"/>
      <c r="BA48" s="102"/>
      <c r="BB48" s="102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-300</v>
      </c>
      <c r="AI49" s="40" t="n">
        <f aca="false">MIN(AI44:AI47)</f>
        <v>-3</v>
      </c>
      <c r="AY49" s="102"/>
      <c r="AZ49" s="102"/>
      <c r="BA49" s="102"/>
      <c r="BB49" s="102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3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1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2</v>
      </c>
      <c r="AH50" s="40" t="n">
        <f aca="false">(AF50-AG50)*100+AK50*10000+AF50</f>
        <v>-99</v>
      </c>
      <c r="AI50" s="40" t="n">
        <f aca="false">AF50-AG50</f>
        <v>-1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5.0006045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2"/>
      <c r="AZ50" s="102"/>
      <c r="BA50" s="102"/>
      <c r="BB50" s="102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1</v>
      </c>
      <c r="L51" s="72" t="n">
        <f aca="false">VLOOKUP(1,AA50:AK53,3,0)</f>
        <v>1</v>
      </c>
      <c r="M51" s="72" t="n">
        <f aca="false">VLOOKUP(1,AA50:AK53,4,0)</f>
        <v>0</v>
      </c>
      <c r="N51" s="72" t="n">
        <f aca="false">VLOOKUP(1,AA50:AK53,5,0)</f>
        <v>0</v>
      </c>
      <c r="O51" s="72" t="str">
        <f aca="false">VLOOKUP(1,AA50:AK53,6,0) &amp; " - " &amp; VLOOKUP(1,AA50:AK53,7,0)</f>
        <v>2 - 1</v>
      </c>
      <c r="P51" s="73" t="n">
        <f aca="false">L51*3+M51</f>
        <v>3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0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2</v>
      </c>
      <c r="AG51" s="40" t="n">
        <f aca="false">SUMIF($E$7:$E$54,$AB51,$G$7:$G$54) + SUMIF($H$7:$H$54,$AB51,$F$7:$F$54)</f>
        <v>1</v>
      </c>
      <c r="AH51" s="40" t="n">
        <f aca="false">(AF51-AG51)*100+AK51*10000+AF51</f>
        <v>30102</v>
      </c>
      <c r="AI51" s="40" t="n">
        <f aca="false">AF51-AG51</f>
        <v>1</v>
      </c>
      <c r="AJ51" s="40" t="n">
        <f aca="false">(AI51-AI55)/AI54</f>
        <v>0.666666666666667</v>
      </c>
      <c r="AK51" s="40" t="n">
        <f aca="false">AC51*3+AD51</f>
        <v>3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826.667108666667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2"/>
      <c r="AZ51" s="102"/>
      <c r="BA51" s="102"/>
      <c r="BB51" s="102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1</v>
      </c>
      <c r="L52" s="76" t="n">
        <f aca="false">VLOOKUP(2,AA50:AK53,3,0)</f>
        <v>1</v>
      </c>
      <c r="M52" s="76" t="n">
        <f aca="false">VLOOKUP(2,AA50:AK53,4,0)</f>
        <v>0</v>
      </c>
      <c r="N52" s="76" t="n">
        <f aca="false">VLOOKUP(2,AA50:AK53,5,0)</f>
        <v>0</v>
      </c>
      <c r="O52" s="76" t="str">
        <f aca="false">VLOOKUP(2,AA50:AK53,6,0) &amp; " - " &amp; VLOOKUP(2,AA50:AK53,7,0)</f>
        <v>2 - 1</v>
      </c>
      <c r="P52" s="77" t="n">
        <f aca="false">L52*3+M52</f>
        <v>3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4</v>
      </c>
      <c r="AB52" s="42" t="str">
        <f aca="false">VLOOKUP("Colombia",T,lang,0)</f>
        <v>Colombia</v>
      </c>
      <c r="AC52" s="40" t="n">
        <f aca="false">COUNTIF($S$7:$T$54,"=" &amp; AB52 &amp; "_win")</f>
        <v>0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1</v>
      </c>
      <c r="AG52" s="40" t="n">
        <f aca="false">SUMIF($E$7:$E$54,$AB52,$G$7:$G$54) + SUMIF($H$7:$H$54,$AB52,$F$7:$F$54)</f>
        <v>2</v>
      </c>
      <c r="AH52" s="40" t="n">
        <f aca="false">(AF52-AG52)*100+AK52*10000+AF52</f>
        <v>-99</v>
      </c>
      <c r="AI52" s="40" t="n">
        <f aca="false">AF52-AG52</f>
        <v>-1</v>
      </c>
      <c r="AJ52" s="40" t="n">
        <f aca="false">(AI52-AI55)/AI54</f>
        <v>0</v>
      </c>
      <c r="AK52" s="40" t="n">
        <f aca="false">AC52*3+AD52</f>
        <v>0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5.000539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2"/>
      <c r="AZ52" s="102"/>
      <c r="BA52" s="102"/>
      <c r="BB52" s="102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Polonia</v>
      </c>
      <c r="K53" s="76" t="n">
        <f aca="false">L53+M53+N53</f>
        <v>1</v>
      </c>
      <c r="L53" s="76" t="n">
        <f aca="false">VLOOKUP(3,AA50:AK53,3,0)</f>
        <v>0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1 - 2</v>
      </c>
      <c r="P53" s="77" t="n">
        <f aca="false">L53*3+M53</f>
        <v>0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0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2</v>
      </c>
      <c r="AG53" s="40" t="n">
        <f aca="false">SUMIF($E$7:$E$54,$AB53,$G$7:$G$54) + SUMIF($H$7:$H$54,$AB53,$F$7:$F$54)</f>
        <v>1</v>
      </c>
      <c r="AH53" s="40" t="n">
        <f aca="false">(AF53-AG53)*100+AK53*10000+AF53</f>
        <v>30102</v>
      </c>
      <c r="AI53" s="40" t="n">
        <f aca="false">AF53-AG53</f>
        <v>1</v>
      </c>
      <c r="AJ53" s="40" t="n">
        <f aca="false">(AI53-AI55)/AI54</f>
        <v>0.666666666666667</v>
      </c>
      <c r="AK53" s="40" t="n">
        <f aca="false">AC53*3+AD53</f>
        <v>3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826.666966666667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3" t="n">
        <v>48</v>
      </c>
      <c r="B54" s="104" t="str">
        <f aca="false">INDEX(T,18+INT(MOD(R54-1,7)),lang)</f>
        <v>Thu</v>
      </c>
      <c r="C54" s="105" t="str">
        <f aca="false">INDEX(T,24+MONTH(R54),lang) &amp; " " &amp; DAY(R54) &amp; ", " &amp; YEAR(R54)</f>
        <v>Jun 28, 2018</v>
      </c>
      <c r="D54" s="106" t="n">
        <f aca="false">TIME(HOUR(R54),MINUTE(R54),0)</f>
        <v>0.416666666666667</v>
      </c>
      <c r="E54" s="107" t="str">
        <f aca="false">AB51</f>
        <v>Senegal</v>
      </c>
      <c r="F54" s="83"/>
      <c r="G54" s="84"/>
      <c r="H54" s="108" t="str">
        <f aca="false">AB52</f>
        <v>Colombia</v>
      </c>
      <c r="J54" s="87" t="str">
        <f aca="false">VLOOKUP(4,AA50:AK53,2,0)</f>
        <v>Colombia</v>
      </c>
      <c r="K54" s="88" t="n">
        <f aca="false">L54+M54+N54</f>
        <v>1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1</v>
      </c>
      <c r="O54" s="88" t="str">
        <f aca="false">VLOOKUP(4,AA50:AK53,6,0) &amp; " - " &amp; VLOOKUP(4,AA50:AK53,7,0)</f>
        <v>1 - 2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1</v>
      </c>
      <c r="AE54" s="40" t="n">
        <f aca="false">MAX(AE50:AE53)-MIN(AE50:AE53)+1</f>
        <v>2</v>
      </c>
      <c r="AF54" s="40" t="n">
        <f aca="false">MAX(AF50:AF53)-MIN(AF50:AF53)+1</f>
        <v>2</v>
      </c>
      <c r="AG54" s="40" t="n">
        <f aca="false">MAX(AG50:AG53)-MIN(AG50:AG53)+1</f>
        <v>2</v>
      </c>
      <c r="AH54" s="40" t="n">
        <f aca="false">MAX(AH50:AH53)-AH55+1</f>
        <v>30202</v>
      </c>
      <c r="AI54" s="40" t="n">
        <f aca="false">MAX(AI50:AI53)-AI55+1</f>
        <v>3</v>
      </c>
      <c r="AK54" s="40" t="n">
        <f aca="false">MAX(AK50:AK53)-MIN(AK50:AK53)+1</f>
        <v>4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09"/>
      <c r="C55" s="92"/>
      <c r="D55" s="110"/>
      <c r="E55" s="111"/>
      <c r="F55" s="112"/>
      <c r="G55" s="112"/>
      <c r="H55" s="113"/>
      <c r="J55" s="91"/>
      <c r="K55" s="92"/>
      <c r="L55" s="92"/>
      <c r="M55" s="92"/>
      <c r="N55" s="92"/>
      <c r="O55" s="92"/>
      <c r="P55" s="92"/>
      <c r="AH55" s="40" t="n">
        <f aca="false">MIN(AH50:AH53)</f>
        <v>-99</v>
      </c>
      <c r="AI55" s="40" t="n">
        <f aca="false">MIN(AI50:AI53)</f>
        <v>-1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IF($AZ27=$T60,1,0)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between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  <dataValidation allowBlank="true" operator="between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2018-06-20T15:12:50Z</dcterms:modified>
  <cp:revision>5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