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90.png" ContentType="image/png"/>
  <Override PartName="/xl/media/image189.png" ContentType="image/png"/>
  <Override PartName="/xl/media/image188.png" ContentType="image/png"/>
  <Override PartName="/xl/media/image187.png" ContentType="image/png"/>
  <Override PartName="/xl/media/image186.png" ContentType="image/png"/>
  <Override PartName="/xl/media/image185.png" ContentType="image/png"/>
  <Override PartName="/xl/media/image184.png" ContentType="image/png"/>
  <Override PartName="/xl/media/image183.png" ContentType="image/png"/>
  <Override PartName="/xl/media/image182.png" ContentType="image/png"/>
  <Override PartName="/xl/media/image181.png" ContentType="image/png"/>
  <Override PartName="/xl/media/image180.png" ContentType="image/png"/>
  <Override PartName="/xl/media/image179.png" ContentType="image/png"/>
  <Override PartName="/xl/media/image178.png" ContentType="image/png"/>
  <Override PartName="/xl/media/image177.png" ContentType="image/png"/>
  <Override PartName="/xl/media/image176.png" ContentType="image/png"/>
  <Override PartName="/xl/media/image175.png" ContentType="image/png"/>
  <Override PartName="/xl/media/image132.png" ContentType="image/png"/>
  <Override PartName="/xl/media/image157.png" ContentType="image/png"/>
  <Override PartName="/xl/media/image131.png" ContentType="image/png"/>
  <Override PartName="/xl/media/image156.png" ContentType="image/png"/>
  <Override PartName="/xl/media/image130.png" ContentType="image/png"/>
  <Override PartName="/xl/media/image155.png" ContentType="image/png"/>
  <Override PartName="/xl/media/image129.png" ContentType="image/png"/>
  <Override PartName="/xl/media/image104.png" ContentType="image/png"/>
  <Override PartName="/xl/media/image128.png" ContentType="image/png"/>
  <Override PartName="/xl/media/image103.png" ContentType="image/png"/>
  <Override PartName="/xl/media/image127.png" ContentType="image/png"/>
  <Override PartName="/xl/media/image102.png" ContentType="image/png"/>
  <Override PartName="/xl/media/image126.png" ContentType="image/png"/>
  <Override PartName="/xl/media/image192.png" ContentType="image/png"/>
  <Override PartName="/xl/media/image101.png" ContentType="image/png"/>
  <Override PartName="/xl/media/image125.png" ContentType="image/png"/>
  <Override PartName="/xl/media/image191.png" ContentType="image/png"/>
  <Override PartName="/xl/media/image100.png" ContentType="image/png"/>
  <Override PartName="/xl/media/image124.png" ContentType="image/png"/>
  <Override PartName="/xl/media/image149.png" ContentType="image/png"/>
  <Override PartName="/xl/media/image123.png" ContentType="image/png"/>
  <Override PartName="/xl/media/image148.png" ContentType="image/png"/>
  <Override PartName="/xl/media/image122.png" ContentType="image/png"/>
  <Override PartName="/xl/media/image147.png" ContentType="image/png"/>
  <Override PartName="/xl/media/image121.png" ContentType="image/png"/>
  <Override PartName="/xl/media/image146.png" ContentType="image/png"/>
  <Override PartName="/xl/media/image120.png" ContentType="image/png"/>
  <Override PartName="/xl/media/image145.png" ContentType="image/png"/>
  <Override PartName="/xl/media/image119.png" ContentType="image/png"/>
  <Override PartName="/xl/media/image118.png" ContentType="image/png"/>
  <Override PartName="/xl/media/image99.png" ContentType="image/png"/>
  <Override PartName="/xl/media/image117.png" ContentType="image/png"/>
  <Override PartName="/xl/media/image98.png" ContentType="image/png"/>
  <Override PartName="/xl/media/image116.png" ContentType="image/png"/>
  <Override PartName="/xl/media/image97.png" ContentType="image/png"/>
  <Override PartName="/xl/media/image115.png" ContentType="image/png"/>
  <Override PartName="/xl/media/image114.png" ContentType="image/png"/>
  <Override PartName="/xl/media/image139.png" ContentType="image/png"/>
  <Override PartName="/xl/media/image113.png" ContentType="image/png"/>
  <Override PartName="/xl/media/image138.png" ContentType="image/png"/>
  <Override PartName="/xl/media/image110.png" ContentType="image/png"/>
  <Override PartName="/xl/media/image135.png" ContentType="image/png"/>
  <Override PartName="/xl/media/image111.png" ContentType="image/png"/>
  <Override PartName="/xl/media/image136.png" ContentType="image/png"/>
  <Override PartName="/xl/media/image105.png" ContentType="image/png"/>
  <Override PartName="/xl/media/image112.png" ContentType="image/png"/>
  <Override PartName="/xl/media/image137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33.png" ContentType="image/png"/>
  <Override PartName="/xl/media/image158.png" ContentType="image/png"/>
  <Override PartName="/xl/media/image134.png" ContentType="image/png"/>
  <Override PartName="/xl/media/image159.png" ContentType="image/png"/>
  <Override PartName="/xl/media/image140.png" ContentType="image/png"/>
  <Override PartName="/xl/media/image165.png" ContentType="image/png"/>
  <Override PartName="/xl/media/image141.png" ContentType="image/png"/>
  <Override PartName="/xl/media/image166.png" ContentType="image/png"/>
  <Override PartName="/xl/media/image142.png" ContentType="image/png"/>
  <Override PartName="/xl/media/image167.png" ContentType="image/png"/>
  <Override PartName="/xl/media/image143.png" ContentType="image/png"/>
  <Override PartName="/xl/media/image168.png" ContentType="image/png"/>
  <Override PartName="/xl/media/image144.png" ContentType="image/png"/>
  <Override PartName="/xl/media/image169.png" ContentType="image/png"/>
  <Override PartName="/xl/media/image150.png" ContentType="image/png"/>
  <Override PartName="/xl/media/image151.png" ContentType="image/png"/>
  <Override PartName="/xl/media/image152.png" ContentType="image/png"/>
  <Override PartName="/xl/media/image153.png" ContentType="image/png"/>
  <Override PartName="/xl/media/image154.png" ContentType="image/png"/>
  <Override PartName="/xl/media/image160.png" ContentType="image/png"/>
  <Override PartName="/xl/media/image161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70.png" ContentType="image/png"/>
  <Override PartName="/xl/media/image171.png" ContentType="image/png"/>
  <Override PartName="/xl/media/image172.png" ContentType="image/png"/>
  <Override PartName="/xl/media/image173.png" ContentType="image/png"/>
  <Override PartName="/xl/media/image1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<sst xmlns="http://schemas.openxmlformats.org/spreadsheetml/2006/main" count="4451" uniqueCount="2560">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</sst>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;;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8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u val="single"/>
      <sz val="10"/>
      <name val="Calibri"/>
      <family val="2"/>
      <charset val="204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b val="1"/>
        <i val="0"/>
      </font>
    </dxf>
    <dxf>
      <font>
        <b val="1"/>
        <i val="0"/>
      </font>
    </dxf>
    <dxf>
      <font>
        <b val="1"/>
        <i val="0"/>
        <color rgb="FFFFFFFF"/>
      </font>
      <fill>
        <patternFill>
          <bgColor rgb="FFDEEBF7"/>
        </patternFill>
      </fill>
    </dxf>
    <dxf>
      <font>
        <b val="0"/>
        <i val="0"/>
        <color rgb="FFFFFFFF"/>
      </font>
      <fill>
        <patternFill>
          <bgColor rgb="FFDEEBF7"/>
        </patternFill>
      </fill>
    </dxf>
    <dxf>
      <font>
        <color rgb="FFFFFFFF"/>
      </font>
      <fill>
        <patternFill>
          <bgColor rgb="FFFFFF99"/>
        </patternFill>
      </fill>
    </dxf>
    <dxf>
      <font>
        <b val="0"/>
        <i val="0"/>
        <color rgb="FF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7.png"/><Relationship Id="rId2" Type="http://schemas.openxmlformats.org/officeDocument/2006/relationships/image" Target="../media/image98.png"/><Relationship Id="rId3" Type="http://schemas.openxmlformats.org/officeDocument/2006/relationships/image" Target="../media/image99.png"/><Relationship Id="rId4" Type="http://schemas.openxmlformats.org/officeDocument/2006/relationships/image" Target="../media/image100.png"/><Relationship Id="rId5" Type="http://schemas.openxmlformats.org/officeDocument/2006/relationships/image" Target="../media/image101.png"/><Relationship Id="rId6" Type="http://schemas.openxmlformats.org/officeDocument/2006/relationships/image" Target="../media/image102.png"/><Relationship Id="rId7" Type="http://schemas.openxmlformats.org/officeDocument/2006/relationships/image" Target="../media/image103.png"/><Relationship Id="rId8" Type="http://schemas.openxmlformats.org/officeDocument/2006/relationships/image" Target="../media/image104.png"/><Relationship Id="rId9" Type="http://schemas.openxmlformats.org/officeDocument/2006/relationships/image" Target="../media/image105.png"/><Relationship Id="rId10" Type="http://schemas.openxmlformats.org/officeDocument/2006/relationships/image" Target="../media/image106.png"/><Relationship Id="rId11" Type="http://schemas.openxmlformats.org/officeDocument/2006/relationships/image" Target="../media/image107.png"/><Relationship Id="rId12" Type="http://schemas.openxmlformats.org/officeDocument/2006/relationships/image" Target="../media/image108.png"/><Relationship Id="rId13" Type="http://schemas.openxmlformats.org/officeDocument/2006/relationships/image" Target="../media/image109.png"/><Relationship Id="rId14" Type="http://schemas.openxmlformats.org/officeDocument/2006/relationships/image" Target="../media/image110.png"/><Relationship Id="rId15" Type="http://schemas.openxmlformats.org/officeDocument/2006/relationships/image" Target="../media/image111.png"/><Relationship Id="rId16" Type="http://schemas.openxmlformats.org/officeDocument/2006/relationships/image" Target="../media/image112.png"/><Relationship Id="rId17" Type="http://schemas.openxmlformats.org/officeDocument/2006/relationships/image" Target="../media/image113.png"/><Relationship Id="rId18" Type="http://schemas.openxmlformats.org/officeDocument/2006/relationships/image" Target="../media/image114.png"/><Relationship Id="rId19" Type="http://schemas.openxmlformats.org/officeDocument/2006/relationships/image" Target="../media/image115.png"/><Relationship Id="rId20" Type="http://schemas.openxmlformats.org/officeDocument/2006/relationships/image" Target="../media/image116.png"/><Relationship Id="rId21" Type="http://schemas.openxmlformats.org/officeDocument/2006/relationships/image" Target="../media/image117.png"/><Relationship Id="rId22" Type="http://schemas.openxmlformats.org/officeDocument/2006/relationships/image" Target="../media/image118.png"/><Relationship Id="rId23" Type="http://schemas.openxmlformats.org/officeDocument/2006/relationships/image" Target="../media/image119.png"/><Relationship Id="rId24" Type="http://schemas.openxmlformats.org/officeDocument/2006/relationships/image" Target="../media/image120.png"/><Relationship Id="rId25" Type="http://schemas.openxmlformats.org/officeDocument/2006/relationships/image" Target="../media/image121.png"/><Relationship Id="rId26" Type="http://schemas.openxmlformats.org/officeDocument/2006/relationships/image" Target="../media/image122.png"/><Relationship Id="rId27" Type="http://schemas.openxmlformats.org/officeDocument/2006/relationships/image" Target="../media/image123.png"/><Relationship Id="rId28" Type="http://schemas.openxmlformats.org/officeDocument/2006/relationships/image" Target="../media/image124.png"/><Relationship Id="rId29" Type="http://schemas.openxmlformats.org/officeDocument/2006/relationships/image" Target="../media/image125.png"/><Relationship Id="rId30" Type="http://schemas.openxmlformats.org/officeDocument/2006/relationships/image" Target="../media/image126.png"/><Relationship Id="rId31" Type="http://schemas.openxmlformats.org/officeDocument/2006/relationships/image" Target="../media/image127.png"/><Relationship Id="rId32" Type="http://schemas.openxmlformats.org/officeDocument/2006/relationships/image" Target="../media/image128.png"/><Relationship Id="rId33" Type="http://schemas.openxmlformats.org/officeDocument/2006/relationships/image" Target="../media/image129.png"/><Relationship Id="rId34" Type="http://schemas.openxmlformats.org/officeDocument/2006/relationships/image" Target="../media/image130.png"/><Relationship Id="rId35" Type="http://schemas.openxmlformats.org/officeDocument/2006/relationships/image" Target="../media/image131.png"/><Relationship Id="rId36" Type="http://schemas.openxmlformats.org/officeDocument/2006/relationships/image" Target="../media/image132.png"/><Relationship Id="rId37" Type="http://schemas.openxmlformats.org/officeDocument/2006/relationships/image" Target="../media/image133.png"/><Relationship Id="rId38" Type="http://schemas.openxmlformats.org/officeDocument/2006/relationships/image" Target="../media/image134.png"/><Relationship Id="rId39" Type="http://schemas.openxmlformats.org/officeDocument/2006/relationships/image" Target="../media/image135.png"/><Relationship Id="rId40" Type="http://schemas.openxmlformats.org/officeDocument/2006/relationships/image" Target="../media/image136.png"/><Relationship Id="rId41" Type="http://schemas.openxmlformats.org/officeDocument/2006/relationships/image" Target="../media/image137.png"/><Relationship Id="rId42" Type="http://schemas.openxmlformats.org/officeDocument/2006/relationships/image" Target="../media/image138.png"/><Relationship Id="rId43" Type="http://schemas.openxmlformats.org/officeDocument/2006/relationships/image" Target="../media/image139.png"/><Relationship Id="rId44" Type="http://schemas.openxmlformats.org/officeDocument/2006/relationships/image" Target="../media/image140.png"/><Relationship Id="rId45" Type="http://schemas.openxmlformats.org/officeDocument/2006/relationships/image" Target="../media/image141.png"/><Relationship Id="rId46" Type="http://schemas.openxmlformats.org/officeDocument/2006/relationships/image" Target="../media/image142.png"/><Relationship Id="rId47" Type="http://schemas.openxmlformats.org/officeDocument/2006/relationships/image" Target="../media/image143.png"/><Relationship Id="rId48" Type="http://schemas.openxmlformats.org/officeDocument/2006/relationships/image" Target="../media/image144.png"/><Relationship Id="rId49" Type="http://schemas.openxmlformats.org/officeDocument/2006/relationships/image" Target="../media/image145.png"/><Relationship Id="rId50" Type="http://schemas.openxmlformats.org/officeDocument/2006/relationships/image" Target="../media/image146.png"/><Relationship Id="rId51" Type="http://schemas.openxmlformats.org/officeDocument/2006/relationships/image" Target="../media/image147.png"/><Relationship Id="rId52" Type="http://schemas.openxmlformats.org/officeDocument/2006/relationships/image" Target="../media/image148.png"/><Relationship Id="rId53" Type="http://schemas.openxmlformats.org/officeDocument/2006/relationships/image" Target="../media/image149.png"/><Relationship Id="rId54" Type="http://schemas.openxmlformats.org/officeDocument/2006/relationships/image" Target="../media/image150.png"/><Relationship Id="rId55" Type="http://schemas.openxmlformats.org/officeDocument/2006/relationships/image" Target="../media/image151.png"/><Relationship Id="rId56" Type="http://schemas.openxmlformats.org/officeDocument/2006/relationships/image" Target="../media/image152.png"/><Relationship Id="rId57" Type="http://schemas.openxmlformats.org/officeDocument/2006/relationships/image" Target="../media/image153.png"/><Relationship Id="rId58" Type="http://schemas.openxmlformats.org/officeDocument/2006/relationships/image" Target="../media/image154.png"/><Relationship Id="rId59" Type="http://schemas.openxmlformats.org/officeDocument/2006/relationships/image" Target="../media/image155.png"/><Relationship Id="rId60" Type="http://schemas.openxmlformats.org/officeDocument/2006/relationships/image" Target="../media/image156.png"/><Relationship Id="rId61" Type="http://schemas.openxmlformats.org/officeDocument/2006/relationships/image" Target="../media/image157.png"/><Relationship Id="rId62" Type="http://schemas.openxmlformats.org/officeDocument/2006/relationships/image" Target="../media/image158.png"/><Relationship Id="rId63" Type="http://schemas.openxmlformats.org/officeDocument/2006/relationships/image" Target="../media/image159.png"/><Relationship Id="rId64" Type="http://schemas.openxmlformats.org/officeDocument/2006/relationships/image" Target="../media/image160.png"/><Relationship Id="rId65" Type="http://schemas.openxmlformats.org/officeDocument/2006/relationships/image" Target="../media/image161.png"/><Relationship Id="rId66" Type="http://schemas.openxmlformats.org/officeDocument/2006/relationships/image" Target="../media/image162.png"/><Relationship Id="rId67" Type="http://schemas.openxmlformats.org/officeDocument/2006/relationships/image" Target="../media/image163.png"/><Relationship Id="rId68" Type="http://schemas.openxmlformats.org/officeDocument/2006/relationships/image" Target="../media/image164.png"/><Relationship Id="rId69" Type="http://schemas.openxmlformats.org/officeDocument/2006/relationships/image" Target="../media/image165.png"/><Relationship Id="rId70" Type="http://schemas.openxmlformats.org/officeDocument/2006/relationships/image" Target="../media/image166.png"/><Relationship Id="rId71" Type="http://schemas.openxmlformats.org/officeDocument/2006/relationships/image" Target="../media/image167.png"/><Relationship Id="rId72" Type="http://schemas.openxmlformats.org/officeDocument/2006/relationships/image" Target="../media/image168.png"/><Relationship Id="rId73" Type="http://schemas.openxmlformats.org/officeDocument/2006/relationships/image" Target="../media/image169.png"/><Relationship Id="rId74" Type="http://schemas.openxmlformats.org/officeDocument/2006/relationships/image" Target="../media/image170.png"/><Relationship Id="rId75" Type="http://schemas.openxmlformats.org/officeDocument/2006/relationships/image" Target="../media/image171.png"/><Relationship Id="rId76" Type="http://schemas.openxmlformats.org/officeDocument/2006/relationships/image" Target="../media/image172.png"/><Relationship Id="rId77" Type="http://schemas.openxmlformats.org/officeDocument/2006/relationships/image" Target="../media/image173.png"/><Relationship Id="rId78" Type="http://schemas.openxmlformats.org/officeDocument/2006/relationships/image" Target="../media/image174.png"/><Relationship Id="rId79" Type="http://schemas.openxmlformats.org/officeDocument/2006/relationships/image" Target="../media/image175.png"/><Relationship Id="rId80" Type="http://schemas.openxmlformats.org/officeDocument/2006/relationships/image" Target="../media/image176.png"/><Relationship Id="rId81" Type="http://schemas.openxmlformats.org/officeDocument/2006/relationships/image" Target="../media/image177.png"/><Relationship Id="rId82" Type="http://schemas.openxmlformats.org/officeDocument/2006/relationships/image" Target="../media/image178.png"/><Relationship Id="rId83" Type="http://schemas.openxmlformats.org/officeDocument/2006/relationships/image" Target="../media/image179.png"/><Relationship Id="rId84" Type="http://schemas.openxmlformats.org/officeDocument/2006/relationships/image" Target="../media/image180.png"/><Relationship Id="rId85" Type="http://schemas.openxmlformats.org/officeDocument/2006/relationships/image" Target="../media/image181.png"/><Relationship Id="rId86" Type="http://schemas.openxmlformats.org/officeDocument/2006/relationships/image" Target="../media/image182.png"/><Relationship Id="rId87" Type="http://schemas.openxmlformats.org/officeDocument/2006/relationships/image" Target="../media/image183.png"/><Relationship Id="rId88" Type="http://schemas.openxmlformats.org/officeDocument/2006/relationships/image" Target="../media/image184.png"/><Relationship Id="rId89" Type="http://schemas.openxmlformats.org/officeDocument/2006/relationships/image" Target="../media/image185.png"/><Relationship Id="rId90" Type="http://schemas.openxmlformats.org/officeDocument/2006/relationships/image" Target="../media/image186.png"/><Relationship Id="rId91" Type="http://schemas.openxmlformats.org/officeDocument/2006/relationships/image" Target="../media/image187.png"/><Relationship Id="rId92" Type="http://schemas.openxmlformats.org/officeDocument/2006/relationships/image" Target="../media/image188.png"/><Relationship Id="rId93" Type="http://schemas.openxmlformats.org/officeDocument/2006/relationships/image" Target="../media/image189.png"/><Relationship Id="rId94" Type="http://schemas.openxmlformats.org/officeDocument/2006/relationships/image" Target="../media/image190.png"/><Relationship Id="rId95" Type="http://schemas.openxmlformats.org/officeDocument/2006/relationships/image" Target="../media/image191.png"/><Relationship Id="rId96" Type="http://schemas.openxmlformats.org/officeDocument/2006/relationships/image" Target="../media/image19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1261080</xdr:colOff>
      <xdr:row>6</xdr:row>
      <xdr:rowOff>22680</xdr:rowOff>
    </xdr:from>
    <xdr:to>
      <xdr:col>4</xdr:col>
      <xdr:colOff>1487520</xdr:colOff>
      <xdr:row>6</xdr:row>
      <xdr:rowOff>171720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6520" y="1232280"/>
          <a:ext cx="226440" cy="14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22</xdr:row>
      <xdr:rowOff>18000</xdr:rowOff>
    </xdr:from>
    <xdr:to>
      <xdr:col>4</xdr:col>
      <xdr:colOff>1487520</xdr:colOff>
      <xdr:row>22</xdr:row>
      <xdr:rowOff>167040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6520" y="4275360"/>
          <a:ext cx="226440" cy="14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38</xdr:row>
      <xdr:rowOff>18000</xdr:rowOff>
    </xdr:from>
    <xdr:to>
      <xdr:col>7</xdr:col>
      <xdr:colOff>249120</xdr:colOff>
      <xdr:row>38</xdr:row>
      <xdr:rowOff>167040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160" y="7323480"/>
          <a:ext cx="226440" cy="14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6</xdr:row>
      <xdr:rowOff>22680</xdr:rowOff>
    </xdr:from>
    <xdr:to>
      <xdr:col>7</xdr:col>
      <xdr:colOff>246240</xdr:colOff>
      <xdr:row>6</xdr:row>
      <xdr:rowOff>173160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160" y="12322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23</xdr:row>
      <xdr:rowOff>22680</xdr:rowOff>
    </xdr:from>
    <xdr:to>
      <xdr:col>7</xdr:col>
      <xdr:colOff>246240</xdr:colOff>
      <xdr:row>23</xdr:row>
      <xdr:rowOff>173160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160" y="44708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39</xdr:row>
      <xdr:rowOff>22680</xdr:rowOff>
    </xdr:from>
    <xdr:to>
      <xdr:col>4</xdr:col>
      <xdr:colOff>1484640</xdr:colOff>
      <xdr:row>39</xdr:row>
      <xdr:rowOff>173160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6520" y="75186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7</xdr:row>
      <xdr:rowOff>22680</xdr:rowOff>
    </xdr:from>
    <xdr:to>
      <xdr:col>4</xdr:col>
      <xdr:colOff>1484640</xdr:colOff>
      <xdr:row>7</xdr:row>
      <xdr:rowOff>173160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6520" y="14227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27360</xdr:colOff>
      <xdr:row>22</xdr:row>
      <xdr:rowOff>22680</xdr:rowOff>
    </xdr:from>
    <xdr:to>
      <xdr:col>7</xdr:col>
      <xdr:colOff>250920</xdr:colOff>
      <xdr:row>22</xdr:row>
      <xdr:rowOff>173160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0840" y="4280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39</xdr:row>
      <xdr:rowOff>22680</xdr:rowOff>
    </xdr:from>
    <xdr:to>
      <xdr:col>7</xdr:col>
      <xdr:colOff>246240</xdr:colOff>
      <xdr:row>39</xdr:row>
      <xdr:rowOff>173160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160" y="75186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7</xdr:row>
      <xdr:rowOff>31680</xdr:rowOff>
    </xdr:from>
    <xdr:to>
      <xdr:col>7</xdr:col>
      <xdr:colOff>241560</xdr:colOff>
      <xdr:row>7</xdr:row>
      <xdr:rowOff>182160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1480" y="14317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23</xdr:row>
      <xdr:rowOff>36360</xdr:rowOff>
    </xdr:from>
    <xdr:to>
      <xdr:col>4</xdr:col>
      <xdr:colOff>1484640</xdr:colOff>
      <xdr:row>23</xdr:row>
      <xdr:rowOff>186840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6520" y="44845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38</xdr:row>
      <xdr:rowOff>27360</xdr:rowOff>
    </xdr:from>
    <xdr:to>
      <xdr:col>4</xdr:col>
      <xdr:colOff>1484640</xdr:colOff>
      <xdr:row>38</xdr:row>
      <xdr:rowOff>177840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6520" y="73328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8</xdr:row>
      <xdr:rowOff>22680</xdr:rowOff>
    </xdr:from>
    <xdr:to>
      <xdr:col>4</xdr:col>
      <xdr:colOff>1484640</xdr:colOff>
      <xdr:row>8</xdr:row>
      <xdr:rowOff>173160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6520" y="16131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24</xdr:row>
      <xdr:rowOff>22680</xdr:rowOff>
    </xdr:from>
    <xdr:to>
      <xdr:col>4</xdr:col>
      <xdr:colOff>1484640</xdr:colOff>
      <xdr:row>24</xdr:row>
      <xdr:rowOff>173160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6520" y="46612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40</xdr:row>
      <xdr:rowOff>22680</xdr:rowOff>
    </xdr:from>
    <xdr:to>
      <xdr:col>7</xdr:col>
      <xdr:colOff>246240</xdr:colOff>
      <xdr:row>40</xdr:row>
      <xdr:rowOff>173160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160" y="7709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8</xdr:row>
      <xdr:rowOff>22680</xdr:rowOff>
    </xdr:from>
    <xdr:to>
      <xdr:col>7</xdr:col>
      <xdr:colOff>241560</xdr:colOff>
      <xdr:row>8</xdr:row>
      <xdr:rowOff>173160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1480" y="16131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25</xdr:row>
      <xdr:rowOff>27360</xdr:rowOff>
    </xdr:from>
    <xdr:to>
      <xdr:col>7</xdr:col>
      <xdr:colOff>246240</xdr:colOff>
      <xdr:row>25</xdr:row>
      <xdr:rowOff>177840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160" y="48564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41</xdr:row>
      <xdr:rowOff>22680</xdr:rowOff>
    </xdr:from>
    <xdr:to>
      <xdr:col>4</xdr:col>
      <xdr:colOff>1479960</xdr:colOff>
      <xdr:row>41</xdr:row>
      <xdr:rowOff>173160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1840" y="78998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41</xdr:row>
      <xdr:rowOff>27360</xdr:rowOff>
    </xdr:from>
    <xdr:to>
      <xdr:col>7</xdr:col>
      <xdr:colOff>241560</xdr:colOff>
      <xdr:row>41</xdr:row>
      <xdr:rowOff>177840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1480" y="79045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24</xdr:row>
      <xdr:rowOff>22680</xdr:rowOff>
    </xdr:from>
    <xdr:to>
      <xdr:col>7</xdr:col>
      <xdr:colOff>246240</xdr:colOff>
      <xdr:row>24</xdr:row>
      <xdr:rowOff>173160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160" y="46612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9</xdr:row>
      <xdr:rowOff>18000</xdr:rowOff>
    </xdr:from>
    <xdr:to>
      <xdr:col>4</xdr:col>
      <xdr:colOff>1484640</xdr:colOff>
      <xdr:row>9</xdr:row>
      <xdr:rowOff>168480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6520" y="17989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9</xdr:row>
      <xdr:rowOff>22680</xdr:rowOff>
    </xdr:from>
    <xdr:to>
      <xdr:col>7</xdr:col>
      <xdr:colOff>241560</xdr:colOff>
      <xdr:row>9</xdr:row>
      <xdr:rowOff>173160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1480" y="18036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25</xdr:row>
      <xdr:rowOff>18000</xdr:rowOff>
    </xdr:from>
    <xdr:to>
      <xdr:col>4</xdr:col>
      <xdr:colOff>1484640</xdr:colOff>
      <xdr:row>25</xdr:row>
      <xdr:rowOff>168480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6520" y="4847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40</xdr:row>
      <xdr:rowOff>18000</xdr:rowOff>
    </xdr:from>
    <xdr:to>
      <xdr:col>4</xdr:col>
      <xdr:colOff>1484640</xdr:colOff>
      <xdr:row>40</xdr:row>
      <xdr:rowOff>168480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6520" y="77043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10</xdr:row>
      <xdr:rowOff>22680</xdr:rowOff>
    </xdr:from>
    <xdr:to>
      <xdr:col>4</xdr:col>
      <xdr:colOff>1484640</xdr:colOff>
      <xdr:row>10</xdr:row>
      <xdr:rowOff>173160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6520" y="1994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26</xdr:row>
      <xdr:rowOff>22680</xdr:rowOff>
    </xdr:from>
    <xdr:to>
      <xdr:col>4</xdr:col>
      <xdr:colOff>1484640</xdr:colOff>
      <xdr:row>26</xdr:row>
      <xdr:rowOff>173160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6520" y="50421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42</xdr:row>
      <xdr:rowOff>22680</xdr:rowOff>
    </xdr:from>
    <xdr:to>
      <xdr:col>7</xdr:col>
      <xdr:colOff>241560</xdr:colOff>
      <xdr:row>42</xdr:row>
      <xdr:rowOff>173160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1480" y="80902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10</xdr:row>
      <xdr:rowOff>22680</xdr:rowOff>
    </xdr:from>
    <xdr:to>
      <xdr:col>7</xdr:col>
      <xdr:colOff>241560</xdr:colOff>
      <xdr:row>10</xdr:row>
      <xdr:rowOff>173160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1480" y="1994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27</xdr:row>
      <xdr:rowOff>18000</xdr:rowOff>
    </xdr:from>
    <xdr:to>
      <xdr:col>7</xdr:col>
      <xdr:colOff>241560</xdr:colOff>
      <xdr:row>27</xdr:row>
      <xdr:rowOff>168480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1480" y="52279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43</xdr:row>
      <xdr:rowOff>18000</xdr:rowOff>
    </xdr:from>
    <xdr:to>
      <xdr:col>4</xdr:col>
      <xdr:colOff>1479960</xdr:colOff>
      <xdr:row>43</xdr:row>
      <xdr:rowOff>168480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1840" y="8276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11</xdr:row>
      <xdr:rowOff>22680</xdr:rowOff>
    </xdr:from>
    <xdr:to>
      <xdr:col>4</xdr:col>
      <xdr:colOff>1484640</xdr:colOff>
      <xdr:row>11</xdr:row>
      <xdr:rowOff>173160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6520" y="21848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26</xdr:row>
      <xdr:rowOff>22680</xdr:rowOff>
    </xdr:from>
    <xdr:to>
      <xdr:col>7</xdr:col>
      <xdr:colOff>246240</xdr:colOff>
      <xdr:row>26</xdr:row>
      <xdr:rowOff>173160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160" y="50421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43</xdr:row>
      <xdr:rowOff>18000</xdr:rowOff>
    </xdr:from>
    <xdr:to>
      <xdr:col>7</xdr:col>
      <xdr:colOff>241560</xdr:colOff>
      <xdr:row>43</xdr:row>
      <xdr:rowOff>168480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1480" y="8276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11</xdr:row>
      <xdr:rowOff>18000</xdr:rowOff>
    </xdr:from>
    <xdr:to>
      <xdr:col>7</xdr:col>
      <xdr:colOff>241560</xdr:colOff>
      <xdr:row>11</xdr:row>
      <xdr:rowOff>168480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1480" y="21801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27</xdr:row>
      <xdr:rowOff>18000</xdr:rowOff>
    </xdr:from>
    <xdr:to>
      <xdr:col>4</xdr:col>
      <xdr:colOff>1484640</xdr:colOff>
      <xdr:row>27</xdr:row>
      <xdr:rowOff>168480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6520" y="52279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42</xdr:row>
      <xdr:rowOff>18000</xdr:rowOff>
    </xdr:from>
    <xdr:to>
      <xdr:col>4</xdr:col>
      <xdr:colOff>1479960</xdr:colOff>
      <xdr:row>42</xdr:row>
      <xdr:rowOff>168480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1840" y="80856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12</xdr:row>
      <xdr:rowOff>18000</xdr:rowOff>
    </xdr:from>
    <xdr:to>
      <xdr:col>4</xdr:col>
      <xdr:colOff>1484640</xdr:colOff>
      <xdr:row>12</xdr:row>
      <xdr:rowOff>168480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6520" y="23706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28</xdr:row>
      <xdr:rowOff>22680</xdr:rowOff>
    </xdr:from>
    <xdr:to>
      <xdr:col>4</xdr:col>
      <xdr:colOff>1484640</xdr:colOff>
      <xdr:row>28</xdr:row>
      <xdr:rowOff>173160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6520" y="54230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44</xdr:row>
      <xdr:rowOff>18000</xdr:rowOff>
    </xdr:from>
    <xdr:to>
      <xdr:col>7</xdr:col>
      <xdr:colOff>246240</xdr:colOff>
      <xdr:row>44</xdr:row>
      <xdr:rowOff>168480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160" y="84664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12</xdr:row>
      <xdr:rowOff>22680</xdr:rowOff>
    </xdr:from>
    <xdr:to>
      <xdr:col>7</xdr:col>
      <xdr:colOff>246240</xdr:colOff>
      <xdr:row>12</xdr:row>
      <xdr:rowOff>173160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160" y="23752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45</xdr:row>
      <xdr:rowOff>22680</xdr:rowOff>
    </xdr:from>
    <xdr:to>
      <xdr:col>4</xdr:col>
      <xdr:colOff>1479960</xdr:colOff>
      <xdr:row>45</xdr:row>
      <xdr:rowOff>173160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1840" y="86616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29</xdr:row>
      <xdr:rowOff>22680</xdr:rowOff>
    </xdr:from>
    <xdr:to>
      <xdr:col>7</xdr:col>
      <xdr:colOff>241560</xdr:colOff>
      <xdr:row>29</xdr:row>
      <xdr:rowOff>173160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1480" y="56138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13</xdr:row>
      <xdr:rowOff>22680</xdr:rowOff>
    </xdr:from>
    <xdr:to>
      <xdr:col>4</xdr:col>
      <xdr:colOff>1484640</xdr:colOff>
      <xdr:row>13</xdr:row>
      <xdr:rowOff>173160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6520" y="25657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28</xdr:row>
      <xdr:rowOff>17280</xdr:rowOff>
    </xdr:from>
    <xdr:to>
      <xdr:col>7</xdr:col>
      <xdr:colOff>240840</xdr:colOff>
      <xdr:row>28</xdr:row>
      <xdr:rowOff>167760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0760" y="54176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21600</xdr:colOff>
      <xdr:row>45</xdr:row>
      <xdr:rowOff>17280</xdr:rowOff>
    </xdr:from>
    <xdr:to>
      <xdr:col>7</xdr:col>
      <xdr:colOff>245160</xdr:colOff>
      <xdr:row>45</xdr:row>
      <xdr:rowOff>167760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080" y="86562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13</xdr:row>
      <xdr:rowOff>21600</xdr:rowOff>
    </xdr:from>
    <xdr:to>
      <xdr:col>7</xdr:col>
      <xdr:colOff>240840</xdr:colOff>
      <xdr:row>13</xdr:row>
      <xdr:rowOff>172080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0760" y="25646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1260000</xdr:colOff>
      <xdr:row>29</xdr:row>
      <xdr:rowOff>21600</xdr:rowOff>
    </xdr:from>
    <xdr:to>
      <xdr:col>4</xdr:col>
      <xdr:colOff>1483560</xdr:colOff>
      <xdr:row>29</xdr:row>
      <xdr:rowOff>172080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5440" y="56127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1255680</xdr:colOff>
      <xdr:row>44</xdr:row>
      <xdr:rowOff>17280</xdr:rowOff>
    </xdr:from>
    <xdr:to>
      <xdr:col>4</xdr:col>
      <xdr:colOff>1479240</xdr:colOff>
      <xdr:row>44</xdr:row>
      <xdr:rowOff>167760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120" y="84657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14</xdr:row>
      <xdr:rowOff>23760</xdr:rowOff>
    </xdr:from>
    <xdr:to>
      <xdr:col>4</xdr:col>
      <xdr:colOff>1481040</xdr:colOff>
      <xdr:row>14</xdr:row>
      <xdr:rowOff>174240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2920" y="2757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30</xdr:row>
      <xdr:rowOff>19080</xdr:rowOff>
    </xdr:from>
    <xdr:to>
      <xdr:col>4</xdr:col>
      <xdr:colOff>1485720</xdr:colOff>
      <xdr:row>30</xdr:row>
      <xdr:rowOff>169560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7600" y="5800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46</xdr:row>
      <xdr:rowOff>19080</xdr:rowOff>
    </xdr:from>
    <xdr:to>
      <xdr:col>7</xdr:col>
      <xdr:colOff>242640</xdr:colOff>
      <xdr:row>46</xdr:row>
      <xdr:rowOff>169560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2560" y="88484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14</xdr:row>
      <xdr:rowOff>19080</xdr:rowOff>
    </xdr:from>
    <xdr:to>
      <xdr:col>7</xdr:col>
      <xdr:colOff>198000</xdr:colOff>
      <xdr:row>14</xdr:row>
      <xdr:rowOff>169560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000" y="2752560"/>
          <a:ext cx="15048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42840</xdr:colOff>
      <xdr:row>31</xdr:row>
      <xdr:rowOff>19080</xdr:rowOff>
    </xdr:from>
    <xdr:to>
      <xdr:col>7</xdr:col>
      <xdr:colOff>193320</xdr:colOff>
      <xdr:row>31</xdr:row>
      <xdr:rowOff>169560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6320" y="5991120"/>
          <a:ext cx="15048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1290600</xdr:colOff>
      <xdr:row>47</xdr:row>
      <xdr:rowOff>19080</xdr:rowOff>
    </xdr:from>
    <xdr:to>
      <xdr:col>4</xdr:col>
      <xdr:colOff>1441080</xdr:colOff>
      <xdr:row>47</xdr:row>
      <xdr:rowOff>169560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040" y="9039240"/>
          <a:ext cx="15048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15</xdr:row>
      <xdr:rowOff>19080</xdr:rowOff>
    </xdr:from>
    <xdr:to>
      <xdr:col>4</xdr:col>
      <xdr:colOff>1481040</xdr:colOff>
      <xdr:row>15</xdr:row>
      <xdr:rowOff>169560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2920" y="2943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30</xdr:row>
      <xdr:rowOff>19080</xdr:rowOff>
    </xdr:from>
    <xdr:to>
      <xdr:col>7</xdr:col>
      <xdr:colOff>242640</xdr:colOff>
      <xdr:row>30</xdr:row>
      <xdr:rowOff>169560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2560" y="5800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47</xdr:row>
      <xdr:rowOff>19080</xdr:rowOff>
    </xdr:from>
    <xdr:to>
      <xdr:col>7</xdr:col>
      <xdr:colOff>242640</xdr:colOff>
      <xdr:row>47</xdr:row>
      <xdr:rowOff>169560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2560" y="9039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15</xdr:row>
      <xdr:rowOff>19080</xdr:rowOff>
    </xdr:from>
    <xdr:to>
      <xdr:col>7</xdr:col>
      <xdr:colOff>242640</xdr:colOff>
      <xdr:row>15</xdr:row>
      <xdr:rowOff>169560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2560" y="2943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31</xdr:row>
      <xdr:rowOff>19080</xdr:rowOff>
    </xdr:from>
    <xdr:to>
      <xdr:col>4</xdr:col>
      <xdr:colOff>1485720</xdr:colOff>
      <xdr:row>31</xdr:row>
      <xdr:rowOff>169560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7600" y="5991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46</xdr:row>
      <xdr:rowOff>19080</xdr:rowOff>
    </xdr:from>
    <xdr:to>
      <xdr:col>4</xdr:col>
      <xdr:colOff>1481040</xdr:colOff>
      <xdr:row>46</xdr:row>
      <xdr:rowOff>169560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2920" y="88484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16</xdr:row>
      <xdr:rowOff>19080</xdr:rowOff>
    </xdr:from>
    <xdr:to>
      <xdr:col>4</xdr:col>
      <xdr:colOff>1481040</xdr:colOff>
      <xdr:row>16</xdr:row>
      <xdr:rowOff>169560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2920" y="31334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32</xdr:row>
      <xdr:rowOff>19080</xdr:rowOff>
    </xdr:from>
    <xdr:to>
      <xdr:col>4</xdr:col>
      <xdr:colOff>1481040</xdr:colOff>
      <xdr:row>32</xdr:row>
      <xdr:rowOff>169560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2920" y="61815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48</xdr:row>
      <xdr:rowOff>19080</xdr:rowOff>
    </xdr:from>
    <xdr:to>
      <xdr:col>7</xdr:col>
      <xdr:colOff>242640</xdr:colOff>
      <xdr:row>48</xdr:row>
      <xdr:rowOff>169560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2560" y="9229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16</xdr:row>
      <xdr:rowOff>23760</xdr:rowOff>
    </xdr:from>
    <xdr:to>
      <xdr:col>7</xdr:col>
      <xdr:colOff>242640</xdr:colOff>
      <xdr:row>16</xdr:row>
      <xdr:rowOff>174240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2560" y="3138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19080</xdr:rowOff>
    </xdr:from>
    <xdr:to>
      <xdr:col>7</xdr:col>
      <xdr:colOff>242640</xdr:colOff>
      <xdr:row>33</xdr:row>
      <xdr:rowOff>169560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2560" y="6372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49</xdr:row>
      <xdr:rowOff>19080</xdr:rowOff>
    </xdr:from>
    <xdr:to>
      <xdr:col>4</xdr:col>
      <xdr:colOff>1485720</xdr:colOff>
      <xdr:row>49</xdr:row>
      <xdr:rowOff>169560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7600" y="9420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17</xdr:row>
      <xdr:rowOff>19080</xdr:rowOff>
    </xdr:from>
    <xdr:to>
      <xdr:col>4</xdr:col>
      <xdr:colOff>1481040</xdr:colOff>
      <xdr:row>17</xdr:row>
      <xdr:rowOff>169560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2920" y="3324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32</xdr:row>
      <xdr:rowOff>19080</xdr:rowOff>
    </xdr:from>
    <xdr:to>
      <xdr:col>7</xdr:col>
      <xdr:colOff>242640</xdr:colOff>
      <xdr:row>32</xdr:row>
      <xdr:rowOff>169560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2560" y="61815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49</xdr:row>
      <xdr:rowOff>19080</xdr:rowOff>
    </xdr:from>
    <xdr:to>
      <xdr:col>7</xdr:col>
      <xdr:colOff>242640</xdr:colOff>
      <xdr:row>49</xdr:row>
      <xdr:rowOff>169560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2560" y="9420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17</xdr:row>
      <xdr:rowOff>19080</xdr:rowOff>
    </xdr:from>
    <xdr:to>
      <xdr:col>7</xdr:col>
      <xdr:colOff>242640</xdr:colOff>
      <xdr:row>17</xdr:row>
      <xdr:rowOff>169560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2560" y="3324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33</xdr:row>
      <xdr:rowOff>19080</xdr:rowOff>
    </xdr:from>
    <xdr:to>
      <xdr:col>4</xdr:col>
      <xdr:colOff>1481040</xdr:colOff>
      <xdr:row>33</xdr:row>
      <xdr:rowOff>169560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2920" y="6372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48</xdr:row>
      <xdr:rowOff>19080</xdr:rowOff>
    </xdr:from>
    <xdr:to>
      <xdr:col>4</xdr:col>
      <xdr:colOff>1481040</xdr:colOff>
      <xdr:row>48</xdr:row>
      <xdr:rowOff>169560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2920" y="9229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18</xdr:row>
      <xdr:rowOff>19080</xdr:rowOff>
    </xdr:from>
    <xdr:to>
      <xdr:col>4</xdr:col>
      <xdr:colOff>1463760</xdr:colOff>
      <xdr:row>18</xdr:row>
      <xdr:rowOff>169560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1360" y="3514680"/>
          <a:ext cx="17784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34</xdr:row>
      <xdr:rowOff>19080</xdr:rowOff>
    </xdr:from>
    <xdr:to>
      <xdr:col>4</xdr:col>
      <xdr:colOff>1463760</xdr:colOff>
      <xdr:row>34</xdr:row>
      <xdr:rowOff>169560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1360" y="6562440"/>
          <a:ext cx="17784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50</xdr:row>
      <xdr:rowOff>19080</xdr:rowOff>
    </xdr:from>
    <xdr:to>
      <xdr:col>7</xdr:col>
      <xdr:colOff>216000</xdr:colOff>
      <xdr:row>50</xdr:row>
      <xdr:rowOff>169560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1640" y="9610560"/>
          <a:ext cx="17784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18</xdr:row>
      <xdr:rowOff>19080</xdr:rowOff>
    </xdr:from>
    <xdr:to>
      <xdr:col>7</xdr:col>
      <xdr:colOff>242640</xdr:colOff>
      <xdr:row>18</xdr:row>
      <xdr:rowOff>169560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2560" y="3514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35</xdr:row>
      <xdr:rowOff>19080</xdr:rowOff>
    </xdr:from>
    <xdr:to>
      <xdr:col>7</xdr:col>
      <xdr:colOff>247320</xdr:colOff>
      <xdr:row>35</xdr:row>
      <xdr:rowOff>169560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240" y="6753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51</xdr:row>
      <xdr:rowOff>19080</xdr:rowOff>
    </xdr:from>
    <xdr:to>
      <xdr:col>4</xdr:col>
      <xdr:colOff>1481040</xdr:colOff>
      <xdr:row>51</xdr:row>
      <xdr:rowOff>169560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2920" y="9801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19</xdr:row>
      <xdr:rowOff>19080</xdr:rowOff>
    </xdr:from>
    <xdr:to>
      <xdr:col>4</xdr:col>
      <xdr:colOff>1481040</xdr:colOff>
      <xdr:row>19</xdr:row>
      <xdr:rowOff>169560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2920" y="3705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34</xdr:row>
      <xdr:rowOff>19080</xdr:rowOff>
    </xdr:from>
    <xdr:to>
      <xdr:col>7</xdr:col>
      <xdr:colOff>242640</xdr:colOff>
      <xdr:row>34</xdr:row>
      <xdr:rowOff>169560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2560" y="65624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51</xdr:row>
      <xdr:rowOff>19080</xdr:rowOff>
    </xdr:from>
    <xdr:to>
      <xdr:col>7</xdr:col>
      <xdr:colOff>242640</xdr:colOff>
      <xdr:row>51</xdr:row>
      <xdr:rowOff>169560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2560" y="9801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20</xdr:row>
      <xdr:rowOff>19080</xdr:rowOff>
    </xdr:from>
    <xdr:to>
      <xdr:col>4</xdr:col>
      <xdr:colOff>1481040</xdr:colOff>
      <xdr:row>20</xdr:row>
      <xdr:rowOff>169560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2920" y="38955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36</xdr:row>
      <xdr:rowOff>19080</xdr:rowOff>
    </xdr:from>
    <xdr:to>
      <xdr:col>4</xdr:col>
      <xdr:colOff>1485720</xdr:colOff>
      <xdr:row>36</xdr:row>
      <xdr:rowOff>169560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7600" y="6943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52</xdr:row>
      <xdr:rowOff>19080</xdr:rowOff>
    </xdr:from>
    <xdr:to>
      <xdr:col>7</xdr:col>
      <xdr:colOff>242640</xdr:colOff>
      <xdr:row>52</xdr:row>
      <xdr:rowOff>169560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2560" y="99914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20</xdr:row>
      <xdr:rowOff>23760</xdr:rowOff>
    </xdr:from>
    <xdr:to>
      <xdr:col>7</xdr:col>
      <xdr:colOff>247320</xdr:colOff>
      <xdr:row>20</xdr:row>
      <xdr:rowOff>174240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240" y="3900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37</xdr:row>
      <xdr:rowOff>19080</xdr:rowOff>
    </xdr:from>
    <xdr:to>
      <xdr:col>7</xdr:col>
      <xdr:colOff>247320</xdr:colOff>
      <xdr:row>37</xdr:row>
      <xdr:rowOff>169560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240" y="7134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53</xdr:row>
      <xdr:rowOff>19080</xdr:rowOff>
    </xdr:from>
    <xdr:to>
      <xdr:col>4</xdr:col>
      <xdr:colOff>1481040</xdr:colOff>
      <xdr:row>53</xdr:row>
      <xdr:rowOff>169560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2920" y="10182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21</xdr:row>
      <xdr:rowOff>23760</xdr:rowOff>
    </xdr:from>
    <xdr:to>
      <xdr:col>4</xdr:col>
      <xdr:colOff>1485720</xdr:colOff>
      <xdr:row>21</xdr:row>
      <xdr:rowOff>174240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7600" y="409068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23760</xdr:rowOff>
    </xdr:from>
    <xdr:to>
      <xdr:col>7</xdr:col>
      <xdr:colOff>247320</xdr:colOff>
      <xdr:row>36</xdr:row>
      <xdr:rowOff>174240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240" y="694836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53</xdr:row>
      <xdr:rowOff>19080</xdr:rowOff>
    </xdr:from>
    <xdr:to>
      <xdr:col>7</xdr:col>
      <xdr:colOff>242640</xdr:colOff>
      <xdr:row>53</xdr:row>
      <xdr:rowOff>169560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2560" y="10182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19080</xdr:rowOff>
    </xdr:from>
    <xdr:to>
      <xdr:col>7</xdr:col>
      <xdr:colOff>242640</xdr:colOff>
      <xdr:row>21</xdr:row>
      <xdr:rowOff>169560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2560" y="40860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37</xdr:row>
      <xdr:rowOff>19080</xdr:rowOff>
    </xdr:from>
    <xdr:to>
      <xdr:col>4</xdr:col>
      <xdr:colOff>1485720</xdr:colOff>
      <xdr:row>37</xdr:row>
      <xdr:rowOff>169560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7600" y="713412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52</xdr:row>
      <xdr:rowOff>19080</xdr:rowOff>
    </xdr:from>
    <xdr:to>
      <xdr:col>4</xdr:col>
      <xdr:colOff>1485720</xdr:colOff>
      <xdr:row>52</xdr:row>
      <xdr:rowOff>169560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7600" y="99914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19</xdr:row>
      <xdr:rowOff>23760</xdr:rowOff>
    </xdr:from>
    <xdr:to>
      <xdr:col>7</xdr:col>
      <xdr:colOff>247320</xdr:colOff>
      <xdr:row>19</xdr:row>
      <xdr:rowOff>174240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240" y="370980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35</xdr:row>
      <xdr:rowOff>19080</xdr:rowOff>
    </xdr:from>
    <xdr:to>
      <xdr:col>4</xdr:col>
      <xdr:colOff>1485720</xdr:colOff>
      <xdr:row>35</xdr:row>
      <xdr:rowOff>169560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7600" y="6753240"/>
          <a:ext cx="2235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50</xdr:row>
      <xdr:rowOff>19080</xdr:rowOff>
    </xdr:from>
    <xdr:to>
      <xdr:col>4</xdr:col>
      <xdr:colOff>1481040</xdr:colOff>
      <xdr:row>50</xdr:row>
      <xdr:rowOff>169560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2920" y="9610560"/>
          <a:ext cx="223560" cy="150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J54" activeCellId="0" sqref="J54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1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0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1</v>
      </c>
      <c r="AH8" s="40" t="n">
        <f aca="false">(AF8-AG8)+1</f>
        <v>8</v>
      </c>
      <c r="AI8" s="40" t="n">
        <f aca="false">AF8-AG8</f>
        <v>7</v>
      </c>
      <c r="AJ8" s="40" t="n">
        <f aca="false">(AI8-AI13)/AI12</f>
        <v>0.928571428571429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958.889155888889</v>
      </c>
      <c r="AO8" s="43" t="str">
        <f aca="false">IF(SUM(AC8:AE11)=12,J9,INDEX(T,70,lang))</f>
        <v>1A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Rusia</v>
      </c>
      <c r="K9" s="72" t="n">
        <f aca="false">L9+M9+N9</f>
        <v>2</v>
      </c>
      <c r="L9" s="72" t="n">
        <f aca="false">VLOOKUP(1,AA8:AK11,3,0)</f>
        <v>2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8 - 1</v>
      </c>
      <c r="P9" s="73" t="n">
        <f aca="false">L9*3+M9</f>
        <v>6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1</v>
      </c>
      <c r="V9" s="40" t="n">
        <f aca="false">U9*F9</f>
        <v>3</v>
      </c>
      <c r="W9" s="40" t="n">
        <f aca="false">U9*G9</f>
        <v>3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4</v>
      </c>
      <c r="AB9" s="42" t="str">
        <f aca="false">VLOOKUP("Saudi Arabia",T,lang,0)</f>
        <v>Arabia Saudita</v>
      </c>
      <c r="AC9" s="40" t="n">
        <f aca="false">COUNTIF($S$7:$T$54,"=" &amp; AB9 &amp; "_win")</f>
        <v>0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0</v>
      </c>
      <c r="AG9" s="40" t="n">
        <f aca="false">SUMIF($E$7:$E$54,$AB9,$G$7:$G$54) + SUMIF($H$7:$H$54,$AB9,$F$7:$F$54)</f>
        <v>6</v>
      </c>
      <c r="AH9" s="40" t="n">
        <f aca="false">(AF9-AG9)+1</f>
        <v>-5</v>
      </c>
      <c r="AI9" s="40" t="n">
        <f aca="false">AF9-AG9</f>
        <v>-6</v>
      </c>
      <c r="AJ9" s="40" t="n">
        <f aca="false">(AI9-AI13)/AI12</f>
        <v>0</v>
      </c>
      <c r="AK9" s="40" t="n">
        <f aca="false">AC9*3+AD9</f>
        <v>0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0.0002715</v>
      </c>
      <c r="AO9" s="43" t="str">
        <f aca="false">IF(SUM(AC8:AE11)=12,J10,INDEX(T,71,lang))</f>
        <v>2A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Uruguay</v>
      </c>
      <c r="K10" s="76" t="n">
        <f aca="false">L10+M10+N10</f>
        <v>2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0</v>
      </c>
      <c r="O10" s="76" t="str">
        <f aca="false">VLOOKUP(2,AA8:AK11,6,0) &amp; " - " &amp; VLOOKUP(2,AA8:AK11,7,0)</f>
        <v>2 - 0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3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2</v>
      </c>
      <c r="AF10" s="40" t="n">
        <f aca="false">SUMIF($E$7:$E$54,$AB10,$F$7:$F$54) + SUMIF($H$7:$H$54,$AB10,$G$7:$G$54)</f>
        <v>1</v>
      </c>
      <c r="AG10" s="40" t="n">
        <f aca="false">SUMIF($E$7:$E$54,$AB10,$G$7:$G$54) + SUMIF($H$7:$H$54,$AB10,$F$7:$F$54)</f>
        <v>4</v>
      </c>
      <c r="AH10" s="40" t="n">
        <f aca="false">(AF10-AG10)+1</f>
        <v>-2</v>
      </c>
      <c r="AI10" s="40" t="n">
        <f aca="false">AF10-AG10</f>
        <v>-3</v>
      </c>
      <c r="AJ10" s="40" t="n">
        <f aca="false">(AI10-AI13)/AI12</f>
        <v>0.214285714285714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22.5400850396825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1A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Egipto</v>
      </c>
      <c r="K11" s="76" t="n">
        <f aca="false">L11+M11+N11</f>
        <v>2</v>
      </c>
      <c r="L11" s="76" t="n">
        <f aca="false">VLOOKUP(3,AA8:AK11,3,0)</f>
        <v>0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1 - 4</v>
      </c>
      <c r="P11" s="77" t="n">
        <f aca="false">L11*3+M11</f>
        <v>0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2</v>
      </c>
      <c r="AB11" s="42" t="str">
        <f aca="false">VLOOKUP("Uruguay",T,lang,0)</f>
        <v>Uruguay</v>
      </c>
      <c r="AC11" s="40" t="n">
        <f aca="false">COUNTIF($S$7:$T$54,"=" &amp; AB11 &amp; "_win")</f>
        <v>2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2</v>
      </c>
      <c r="AG11" s="40" t="n">
        <f aca="false">SUMIF($E$7:$E$54,$AB11,$G$7:$G$54) + SUMIF($H$7:$H$54,$AB11,$F$7:$F$54)</f>
        <v>0</v>
      </c>
      <c r="AH11" s="40" t="n">
        <f aca="false">(AF11-AG11)+1</f>
        <v>3</v>
      </c>
      <c r="AI11" s="40" t="n">
        <f aca="false">AF11-AG11</f>
        <v>2</v>
      </c>
      <c r="AJ11" s="40" t="n">
        <f aca="false">(AI11-AI13)/AI12</f>
        <v>0.571428571428571</v>
      </c>
      <c r="AK11" s="40" t="n">
        <f aca="false">AC11*3+AD11</f>
        <v>6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916.508398507936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2B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Arabia Saudita</v>
      </c>
      <c r="K12" s="88" t="n">
        <f aca="false">L12+M12+N12</f>
        <v>2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2</v>
      </c>
      <c r="O12" s="88" t="str">
        <f aca="false">VLOOKUP(4,AA8:AK11,6,0) &amp; " - " &amp; VLOOKUP(4,AA8:AK11,7,0)</f>
        <v>0 - 6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3</v>
      </c>
      <c r="AD12" s="40" t="n">
        <f aca="false">MAX(AD8:AD11)-MIN(AD8:AD11)+1</f>
        <v>1</v>
      </c>
      <c r="AE12" s="40" t="n">
        <f aca="false">MAX(AE8:AE11)-MIN(AE8:AE11)+1</f>
        <v>3</v>
      </c>
      <c r="AF12" s="40" t="n">
        <f aca="false">MAX(AF8:AF11)-MIN(AF8:AF11)+1</f>
        <v>9</v>
      </c>
      <c r="AG12" s="40" t="n">
        <f aca="false">MAX(AG8:AG11)-MIN(AG8:AG11)+1</f>
        <v>7</v>
      </c>
      <c r="AH12" s="40" t="n">
        <f aca="false">MAX(AH8:AH11)-AH13+1</f>
        <v>14</v>
      </c>
      <c r="AI12" s="40" t="n">
        <f aca="false">MAX(AI8:AI11)-AI13+1</f>
        <v>14</v>
      </c>
      <c r="AK12" s="40" t="n">
        <f aca="false">MAX(AK8:AK11)-MIN(AK8:AK11)+1</f>
        <v>7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-5</v>
      </c>
      <c r="AI13" s="40" t="n">
        <f aca="false">MIN(AI8:AI11)</f>
        <v>-6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1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4</v>
      </c>
      <c r="AG14" s="40" t="n">
        <f aca="false">SUMIF($E$7:$E$54,$AB14,$G$7:$G$54) + SUMIF($H$7:$H$54,$AB14,$F$7:$F$54)</f>
        <v>3</v>
      </c>
      <c r="AH14" s="40" t="n">
        <f aca="false">(AF14-AG14)*100+AK14*10000+AF14</f>
        <v>40104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4</v>
      </c>
      <c r="AL14" s="40" t="n">
        <f aca="false">AP14/AP18*1000+AQ14/AQ18*100+AT14/AT18*10+AR14/AR18</f>
        <v>50.75</v>
      </c>
      <c r="AM14" s="40" t="n">
        <f aca="false">VLOOKUP(AB14,db_fifarank,2,0)/2000000</f>
        <v>0.000679</v>
      </c>
      <c r="AN14" s="42" t="n">
        <f aca="false">1000*AK14/AK18+100*AJ14+10*AF14/AF18+1*AL14/AL18+AM14</f>
        <v>883.981355328502</v>
      </c>
      <c r="AO14" s="43" t="str">
        <f aca="false">IF(SUM(AC14:AE17)=12,J15,INDEX(T,72,lang))</f>
        <v>1B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1</v>
      </c>
      <c r="AR14" s="44" t="n">
        <f aca="false">SUMPRODUCT(($E$7:$E$54=AB14)*($U$7:$U$54)*($F$7:$F$54))+SUMPRODUCT(($H$7:$H$54=AB14)*($U$7:$U$54)*($G$7:$G$54))</f>
        <v>3</v>
      </c>
      <c r="AS14" s="44" t="n">
        <f aca="false">SUMPRODUCT(($E$7:$E$54=AB14)*($U$7:$U$54)*($G$7:$G$54))+SUMPRODUCT(($H$7:$H$54=AB14)*($U$7:$U$54)*($F$7:$F$54))</f>
        <v>3</v>
      </c>
      <c r="AT14" s="44" t="n">
        <f aca="false">AR14-AS14</f>
        <v>0</v>
      </c>
      <c r="AY14" s="78" t="n">
        <v>50</v>
      </c>
      <c r="AZ14" s="79" t="str">
        <f aca="false">AO20</f>
        <v>1C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Portugal</v>
      </c>
      <c r="K15" s="72" t="n">
        <f aca="false">L15+M15+N15</f>
        <v>2</v>
      </c>
      <c r="L15" s="72" t="n">
        <f aca="false">VLOOKUP(1,AA14:AK17,3,0)</f>
        <v>1</v>
      </c>
      <c r="M15" s="72" t="n">
        <f aca="false">VLOOKUP(1,AA14:AK17,4,0)</f>
        <v>1</v>
      </c>
      <c r="N15" s="72" t="n">
        <f aca="false">VLOOKUP(1,AA14:AK17,5,0)</f>
        <v>0</v>
      </c>
      <c r="O15" s="72" t="str">
        <f aca="false">VLOOKUP(1,AA14:AK17,6,0) &amp; " - " &amp; VLOOKUP(1,AA14:AK17,7,0)</f>
        <v>4 - 3</v>
      </c>
      <c r="P15" s="73" t="n">
        <f aca="false">L15*3+M15</f>
        <v>4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2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1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4</v>
      </c>
      <c r="AG15" s="40" t="n">
        <f aca="false">SUMIF($E$7:$E$54,$AB15,$G$7:$G$54) + SUMIF($H$7:$H$54,$AB15,$F$7:$F$54)</f>
        <v>3</v>
      </c>
      <c r="AH15" s="40" t="n">
        <f aca="false">(AF15-AG15)*100+AK15*10000+AF15</f>
        <v>40104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4</v>
      </c>
      <c r="AL15" s="40" t="n">
        <f aca="false">AP15/AP18*1000+AQ15/AQ18*100+AT15/AT18*10+AR15/AR18</f>
        <v>50.75</v>
      </c>
      <c r="AM15" s="40" t="n">
        <f aca="false">VLOOKUP(AB15,db_fifarank,2,0)/2000000</f>
        <v>0.0006155</v>
      </c>
      <c r="AN15" s="42" t="n">
        <f aca="false">1000*AK15/AK18+100*AJ15+10*AF15/AF18+1*AL15/AL18+AM15</f>
        <v>883.981291828503</v>
      </c>
      <c r="AO15" s="43" t="str">
        <f aca="false">IF(SUM(AC14:AE17)=12,J16,INDEX(T,73,lang))</f>
        <v>2B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1</v>
      </c>
      <c r="AR15" s="44" t="n">
        <f aca="false">SUMPRODUCT(($E$7:$E$54=AB15)*($U$7:$U$54)*($F$7:$F$54))+SUMPRODUCT(($H$7:$H$54=AB15)*($U$7:$U$54)*($G$7:$G$54))</f>
        <v>3</v>
      </c>
      <c r="AS15" s="44" t="n">
        <f aca="false">SUMPRODUCT(($E$7:$E$54=AB15)*($U$7:$U$54)*($G$7:$G$54))+SUMPRODUCT(($H$7:$H$54=AB15)*($U$7:$U$54)*($F$7:$F$54))</f>
        <v>3</v>
      </c>
      <c r="AT15" s="44" t="n">
        <f aca="false">AR15-AS15</f>
        <v>0</v>
      </c>
      <c r="AY15" s="78"/>
      <c r="AZ15" s="82" t="str">
        <f aca="false">AO27</f>
        <v>2D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España</v>
      </c>
      <c r="K16" s="76" t="n">
        <f aca="false">L16+M16+N16</f>
        <v>2</v>
      </c>
      <c r="L16" s="76" t="n">
        <f aca="false">VLOOKUP(2,AA14:AK17,3,0)</f>
        <v>1</v>
      </c>
      <c r="M16" s="76" t="n">
        <f aca="false">VLOOKUP(2,AA14:AK17,4,0)</f>
        <v>1</v>
      </c>
      <c r="N16" s="76" t="n">
        <f aca="false">VLOOKUP(2,AA14:AK17,5,0)</f>
        <v>0</v>
      </c>
      <c r="O16" s="76" t="str">
        <f aca="false">VLOOKUP(2,AA14:AK17,6,0) &amp; " - " &amp; VLOOKUP(2,AA14:AK17,7,0)</f>
        <v>4 - 3</v>
      </c>
      <c r="P16" s="77" t="n">
        <f aca="false">L16*3+M16</f>
        <v>4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0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0</v>
      </c>
      <c r="AG16" s="40" t="n">
        <f aca="false">SUMIF($E$7:$E$54,$AB16,$G$7:$G$54) + SUMIF($H$7:$H$54,$AB16,$F$7:$F$54)</f>
        <v>2</v>
      </c>
      <c r="AH16" s="40" t="n">
        <f aca="false">(AF16-AG16)*100+AK16*10000+AF16</f>
        <v>-200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0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0.000369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2</v>
      </c>
      <c r="L17" s="76" t="n">
        <f aca="false">VLOOKUP(3,AA14:AK17,3,0)</f>
        <v>1</v>
      </c>
      <c r="M17" s="76" t="n">
        <f aca="false">VLOOKUP(3,AA14:AK17,4,0)</f>
        <v>0</v>
      </c>
      <c r="N17" s="76" t="n">
        <f aca="false">VLOOKUP(3,AA14:AK17,5,0)</f>
        <v>1</v>
      </c>
      <c r="O17" s="76" t="str">
        <f aca="false">VLOOKUP(3,AA14:AK17,6,0) &amp; " - " &amp; VLOOKUP(3,AA14:AK17,7,0)</f>
        <v>1 - 1</v>
      </c>
      <c r="P17" s="77" t="n">
        <f aca="false">L17*3+M17</f>
        <v>3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0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1</v>
      </c>
      <c r="AG17" s="40" t="n">
        <f aca="false">SUMIF($E$7:$E$54,$AB17,$G$7:$G$54) + SUMIF($H$7:$H$54,$AB17,$F$7:$F$54)</f>
        <v>1</v>
      </c>
      <c r="AH17" s="40" t="n">
        <f aca="false">(AF17-AG17)*100+AK17*10000+AF17</f>
        <v>30001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3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652.000399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2</v>
      </c>
      <c r="L18" s="88" t="n">
        <f aca="false">VLOOKUP(4,AA14:AK17,3,0)</f>
        <v>0</v>
      </c>
      <c r="M18" s="88" t="n">
        <f aca="false">VLOOKUP(4,AA14:AK17,4,0)</f>
        <v>0</v>
      </c>
      <c r="N18" s="88" t="n">
        <f aca="false">VLOOKUP(4,AA14:AK17,5,0)</f>
        <v>2</v>
      </c>
      <c r="O18" s="88" t="str">
        <f aca="false">VLOOKUP(4,AA14:AK17,6,0) &amp; " - " &amp; VLOOKUP(4,AA14:AK17,7,0)</f>
        <v>0 - 2</v>
      </c>
      <c r="P18" s="89" t="n">
        <f aca="false">L18*3+M18</f>
        <v>0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3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51.75</v>
      </c>
      <c r="AP18" s="40" t="n">
        <f aca="false">MAX(AP14:AP17)-MIN(AP14:AP17)+1</f>
        <v>1</v>
      </c>
      <c r="AQ18" s="40" t="n">
        <f aca="false">MAX(AQ14:AQ17)-MIN(AQ14:AQ17)+1</f>
        <v>2</v>
      </c>
      <c r="AR18" s="40" t="n">
        <f aca="false">MAX(AR14:AR17)-MIN(AR14:AR17)+1</f>
        <v>4</v>
      </c>
      <c r="AS18" s="40" t="n">
        <f aca="false">MAX(AS14:AS17)-MIN(AS14:AS17)+1</f>
        <v>4</v>
      </c>
      <c r="AT18" s="40" t="n">
        <f aca="false">MAX(AT14:AT17)-MIN(AT14:AT17)+1</f>
        <v>1</v>
      </c>
      <c r="AY18" s="78" t="n">
        <v>53</v>
      </c>
      <c r="AZ18" s="79" t="str">
        <f aca="false">AO32</f>
        <v>1E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-200</v>
      </c>
      <c r="AI19" s="40" t="n">
        <f aca="false">MIN(AI14:AI17)</f>
        <v>-2</v>
      </c>
      <c r="AY19" s="78"/>
      <c r="AZ19" s="82" t="str">
        <f aca="false">AO39</f>
        <v>2F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0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60203</v>
      </c>
      <c r="AI20" s="40" t="n">
        <f aca="false">AF20-AG20</f>
        <v>2</v>
      </c>
      <c r="AJ20" s="40" t="n">
        <f aca="false">(AI20-AI25)/AI24</f>
        <v>0.8</v>
      </c>
      <c r="AK20" s="40" t="n">
        <f aca="false">AC20*3+AD20</f>
        <v>6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944.643448642857</v>
      </c>
      <c r="AO20" s="43" t="str">
        <f aca="false">IF(SUM(AC20:AE23)=12,J21,INDEX(T,74,lang))</f>
        <v>1C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2</v>
      </c>
      <c r="L21" s="72" t="n">
        <f aca="false">VLOOKUP(1,AA20:AK23,3,0)</f>
        <v>2</v>
      </c>
      <c r="M21" s="72" t="n">
        <f aca="false">VLOOKUP(1,AA20:AK23,4,0)</f>
        <v>0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6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3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1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3</v>
      </c>
      <c r="AH21" s="40" t="n">
        <f aca="false">(AF21-AG21)*100+AK21*10000+AF21</f>
        <v>9902</v>
      </c>
      <c r="AI21" s="40" t="n">
        <f aca="false">AF21-AG21</f>
        <v>-1</v>
      </c>
      <c r="AJ21" s="40" t="n">
        <f aca="false">(AI21-AI25)/AI24</f>
        <v>0.2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167.857516357143</v>
      </c>
      <c r="AO21" s="43" t="str">
        <f aca="false">IF(SUM(AC20:AE23)=12,J22,INDEX(T,75,lang))</f>
        <v>2C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2</v>
      </c>
      <c r="L22" s="76" t="n">
        <f aca="false">VLOOKUP(2,AA20:AK23,3,0)</f>
        <v>1</v>
      </c>
      <c r="M22" s="76" t="n">
        <f aca="false">VLOOKUP(2,AA20:AK23,4,0)</f>
        <v>1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4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4</v>
      </c>
      <c r="AB22" s="42" t="str">
        <f aca="false">VLOOKUP("Peru",T,lang,0)</f>
        <v>Perú</v>
      </c>
      <c r="AC22" s="40" t="n">
        <f aca="false">COUNTIF($S$7:$T$54,"=" &amp; AB22 &amp; "_win")</f>
        <v>0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0</v>
      </c>
      <c r="AG22" s="40" t="n">
        <f aca="false">SUMIF($E$7:$E$54,$AB22,$G$7:$G$54) + SUMIF($H$7:$H$54,$AB22,$F$7:$F$54)</f>
        <v>2</v>
      </c>
      <c r="AH22" s="40" t="n">
        <f aca="false">(AF22-AG22)*100+AK22*10000+AF22</f>
        <v>-200</v>
      </c>
      <c r="AI22" s="40" t="n">
        <f aca="false">AF22-AG22</f>
        <v>-2</v>
      </c>
      <c r="AJ22" s="40" t="n">
        <f aca="false">(AI22-AI25)/AI24</f>
        <v>0</v>
      </c>
      <c r="AK22" s="40" t="n">
        <f aca="false">AC22*3+AD22</f>
        <v>0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0.000564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Australia</v>
      </c>
      <c r="K23" s="76" t="n">
        <f aca="false">L23+M23+N23</f>
        <v>2</v>
      </c>
      <c r="L23" s="76" t="n">
        <f aca="false">VLOOKUP(3,AA20:AK23,3,0)</f>
        <v>0</v>
      </c>
      <c r="M23" s="76" t="n">
        <f aca="false">VLOOKUP(3,AA20:AK23,4,0)</f>
        <v>1</v>
      </c>
      <c r="N23" s="76" t="n">
        <f aca="false">VLOOKUP(3,AA20:AK23,5,0)</f>
        <v>1</v>
      </c>
      <c r="O23" s="76" t="str">
        <f aca="false">VLOOKUP(3,AA20:AK23,6,0) &amp; " - " &amp; VLOOKUP(3,AA20:AK23,7,0)</f>
        <v>2 - 3</v>
      </c>
      <c r="P23" s="77" t="n">
        <f aca="false">L23*3+M23</f>
        <v>1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1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40102</v>
      </c>
      <c r="AI23" s="40" t="n">
        <f aca="false">AF23-AG23</f>
        <v>1</v>
      </c>
      <c r="AJ23" s="40" t="n">
        <f aca="false">(AI23-AI25)/AI24</f>
        <v>0.6</v>
      </c>
      <c r="AK23" s="40" t="n">
        <f aca="false">AC23*3+AD23</f>
        <v>4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636.429120928572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Perú</v>
      </c>
      <c r="K24" s="88" t="n">
        <f aca="false">L24+M24+N24</f>
        <v>2</v>
      </c>
      <c r="L24" s="88" t="n">
        <f aca="false">VLOOKUP(4,AA20:AK23,3,0)</f>
        <v>0</v>
      </c>
      <c r="M24" s="88" t="n">
        <f aca="false">VLOOKUP(4,AA20:AK23,4,0)</f>
        <v>0</v>
      </c>
      <c r="N24" s="88" t="n">
        <f aca="false">VLOOKUP(4,AA20:AK23,5,0)</f>
        <v>2</v>
      </c>
      <c r="O24" s="88" t="str">
        <f aca="false">VLOOKUP(4,AA20:AK23,6,0) &amp; " - " &amp; VLOOKUP(4,AA20:AK23,7,0)</f>
        <v>0 - 2</v>
      </c>
      <c r="P24" s="89" t="n">
        <f aca="false">L24*3+M24</f>
        <v>0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2</v>
      </c>
      <c r="AE24" s="40" t="n">
        <f aca="false">MAX(AE20:AE23)-MIN(AE20:AE23)+1</f>
        <v>3</v>
      </c>
      <c r="AF24" s="40" t="n">
        <f aca="false">MAX(AF20:AF23)-MIN(AF20:AF23)+1</f>
        <v>4</v>
      </c>
      <c r="AG24" s="40" t="n">
        <f aca="false">MAX(AG20:AG23)-MIN(AG20:AG23)+1</f>
        <v>3</v>
      </c>
      <c r="AH24" s="40" t="n">
        <f aca="false">MAX(AH20:AH23)-AH25+1</f>
        <v>60404</v>
      </c>
      <c r="AI24" s="40" t="n">
        <f aca="false">MAX(AI20:AI23)-AI25+1</f>
        <v>5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-200</v>
      </c>
      <c r="AI25" s="40" t="n">
        <f aca="false">MIN(AI20:AI23)</f>
        <v>-2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4</v>
      </c>
      <c r="AB26" s="42" t="str">
        <f aca="false">VLOOKUP("Argentina",T,lang,0)</f>
        <v>Argentina</v>
      </c>
      <c r="AC26" s="40" t="n">
        <f aca="false">COUNTIF($S$7:$T$54,"=" &amp; AB26 &amp; "_win")</f>
        <v>0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1</v>
      </c>
      <c r="AG26" s="40" t="n">
        <f aca="false">SUMIF($E$7:$E$54,$AB26,$G$7:$G$54) + SUMIF($H$7:$H$54,$AB26,$F$7:$F$54)</f>
        <v>4</v>
      </c>
      <c r="AH26" s="40" t="n">
        <f aca="false">(AF26-AG26)*100+AK26*10000+AF26</f>
        <v>9701</v>
      </c>
      <c r="AI26" s="40" t="n">
        <f aca="false">AF26-AG26</f>
        <v>-3</v>
      </c>
      <c r="AJ26" s="40" t="n">
        <f aca="false">(AI26-AI31)/AI30</f>
        <v>0</v>
      </c>
      <c r="AK26" s="40" t="n">
        <f aca="false">AC26*3+AD26</f>
        <v>1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168.667340666667</v>
      </c>
      <c r="AO26" s="43" t="str">
        <f aca="false">IF(SUM(AC26:AE29)=12,J27,INDEX(T,76,lang))</f>
        <v>1D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1B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2</v>
      </c>
      <c r="L27" s="72" t="n">
        <f aca="false">VLOOKUP(1,AA26:AK29,3,0)</f>
        <v>2</v>
      </c>
      <c r="M27" s="72" t="n">
        <f aca="false">VLOOKUP(1,AA26:AK29,4,0)</f>
        <v>0</v>
      </c>
      <c r="N27" s="72" t="n">
        <f aca="false">VLOOKUP(1,AA26:AK29,5,0)</f>
        <v>0</v>
      </c>
      <c r="O27" s="72" t="str">
        <f aca="false">VLOOKUP(1,AA26:AK29,6,0) &amp; " - " &amp; VLOOKUP(1,AA26:AK29,7,0)</f>
        <v>5 - 0</v>
      </c>
      <c r="P27" s="73" t="n">
        <f aca="false">L27*3+M27</f>
        <v>6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3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1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3</v>
      </c>
      <c r="AH27" s="40" t="n">
        <f aca="false">(AF27-AG27)*100+AK27*10000+AF27</f>
        <v>9801</v>
      </c>
      <c r="AI27" s="40" t="n">
        <f aca="false">AF27-AG27</f>
        <v>-2</v>
      </c>
      <c r="AJ27" s="40" t="n">
        <f aca="false">(AI27-AI31)/AI30</f>
        <v>0.111111111111111</v>
      </c>
      <c r="AK27" s="40" t="n">
        <f aca="false">AC27*3+AD27</f>
        <v>1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179.778232777778</v>
      </c>
      <c r="AO27" s="43" t="str">
        <f aca="false">IF(SUM(AC26:AE29)=12,J28,INDEX(T,77,lang))</f>
        <v>2D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2A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Nigeria</v>
      </c>
      <c r="K28" s="76" t="n">
        <f aca="false">L28+M28+N28</f>
        <v>2</v>
      </c>
      <c r="L28" s="76" t="n">
        <f aca="false">VLOOKUP(2,AA26:AK29,3,0)</f>
        <v>1</v>
      </c>
      <c r="M28" s="76" t="n">
        <f aca="false">VLOOKUP(2,AA26:AK29,4,0)</f>
        <v>0</v>
      </c>
      <c r="N28" s="76" t="n">
        <f aca="false">VLOOKUP(2,AA26:AK29,5,0)</f>
        <v>1</v>
      </c>
      <c r="O28" s="76" t="str">
        <f aca="false">VLOOKUP(2,AA26:AK29,6,0) &amp; " - " &amp; VLOOKUP(2,AA26:AK29,7,0)</f>
        <v>2 - 2</v>
      </c>
      <c r="P28" s="77" t="n">
        <f aca="false">L28*3+M28</f>
        <v>3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0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5</v>
      </c>
      <c r="AG28" s="40" t="n">
        <f aca="false">SUMIF($E$7:$E$54,$AB28,$G$7:$G$54) + SUMIF($H$7:$H$54,$AB28,$F$7:$F$54)</f>
        <v>0</v>
      </c>
      <c r="AH28" s="40" t="n">
        <f aca="false">(AF28-AG28)*100+AK28*10000+AF28</f>
        <v>60505</v>
      </c>
      <c r="AI28" s="40" t="n">
        <f aca="false">AF28-AG28</f>
        <v>5</v>
      </c>
      <c r="AJ28" s="40" t="n">
        <f aca="false">(AI28-AI31)/AI30</f>
        <v>0.888888888888889</v>
      </c>
      <c r="AK28" s="40" t="n">
        <f aca="false">AC28*3+AD28</f>
        <v>6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1098.88939788889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Islandia</v>
      </c>
      <c r="K29" s="76" t="n">
        <f aca="false">L29+M29+N29</f>
        <v>2</v>
      </c>
      <c r="L29" s="76" t="n">
        <f aca="false">VLOOKUP(3,AA26:AK29,3,0)</f>
        <v>0</v>
      </c>
      <c r="M29" s="76" t="n">
        <f aca="false">VLOOKUP(3,AA26:AK29,4,0)</f>
        <v>1</v>
      </c>
      <c r="N29" s="76" t="n">
        <f aca="false">VLOOKUP(3,AA26:AK29,5,0)</f>
        <v>1</v>
      </c>
      <c r="O29" s="76" t="str">
        <f aca="false">VLOOKUP(3,AA26:AK29,6,0) &amp; " - " &amp; VLOOKUP(3,AA26:AK29,7,0)</f>
        <v>1 - 3</v>
      </c>
      <c r="P29" s="77" t="n">
        <f aca="false">L29*3+M29</f>
        <v>1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2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2</v>
      </c>
      <c r="AG29" s="40" t="n">
        <f aca="false">SUMIF($E$7:$E$54,$AB29,$G$7:$G$54) + SUMIF($H$7:$H$54,$AB29,$F$7:$F$54)</f>
        <v>2</v>
      </c>
      <c r="AH29" s="40" t="n">
        <f aca="false">(AF29-AG29)*100+AK29*10000+AF29</f>
        <v>30002</v>
      </c>
      <c r="AI29" s="40" t="n">
        <f aca="false">AF29-AG29</f>
        <v>0</v>
      </c>
      <c r="AJ29" s="40" t="n">
        <f aca="false">(AI29-AI31)/AI30</f>
        <v>0.333333333333333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537.333653333333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Argentina</v>
      </c>
      <c r="K30" s="88" t="n">
        <f aca="false">L30+M30+N30</f>
        <v>2</v>
      </c>
      <c r="L30" s="88" t="n">
        <f aca="false">VLOOKUP(4,AA26:AK29,3,0)</f>
        <v>0</v>
      </c>
      <c r="M30" s="88" t="n">
        <f aca="false">VLOOKUP(4,AA26:AK29,4,0)</f>
        <v>1</v>
      </c>
      <c r="N30" s="88" t="n">
        <f aca="false">VLOOKUP(4,AA26:AK29,5,0)</f>
        <v>1</v>
      </c>
      <c r="O30" s="88" t="str">
        <f aca="false">VLOOKUP(4,AA26:AK29,6,0) &amp; " - " &amp; VLOOKUP(4,AA26:AK29,7,0)</f>
        <v>1 - 4</v>
      </c>
      <c r="P30" s="89" t="n">
        <f aca="false">L30*3+M30</f>
        <v>1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2</v>
      </c>
      <c r="AE30" s="40" t="n">
        <f aca="false">MAX(AE26:AE29)-MIN(AE26:AE29)+1</f>
        <v>2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50805</v>
      </c>
      <c r="AI30" s="40" t="n">
        <f aca="false">MAX(AI26:AI29)-AI31+1</f>
        <v>9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1D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9701</v>
      </c>
      <c r="AI31" s="40" t="n">
        <f aca="false">MIN(AI26:AI29)</f>
        <v>-3</v>
      </c>
      <c r="AY31" s="78"/>
      <c r="AZ31" s="82" t="str">
        <f aca="false">AO21</f>
        <v>2C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1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3</v>
      </c>
      <c r="AG32" s="40" t="n">
        <f aca="false">SUMIF($E$7:$E$54,$AB32,$G$7:$G$54) + SUMIF($H$7:$H$54,$AB32,$F$7:$F$54)</f>
        <v>1</v>
      </c>
      <c r="AH32" s="40" t="n">
        <f aca="false">(AF32-AG32)*100+AK32*10000+AF32</f>
        <v>40203</v>
      </c>
      <c r="AI32" s="40" t="n">
        <f aca="false">AF32-AG32</f>
        <v>2</v>
      </c>
      <c r="AJ32" s="40" t="n">
        <f aca="false">(AI32-AI37)/AI36</f>
        <v>0.833333333333333</v>
      </c>
      <c r="AK32" s="40" t="n">
        <f aca="false">AC32*3+AD32</f>
        <v>4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890.834074833333</v>
      </c>
      <c r="AO32" s="43" t="str">
        <f aca="false">IF(SUM(AC32:AE35)=12,J33,INDEX(T,78,lang))</f>
        <v>1E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2</v>
      </c>
      <c r="L33" s="72" t="n">
        <f aca="false">VLOOKUP(1,AA32:AK35,3,0)</f>
        <v>1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3 - 1</v>
      </c>
      <c r="P33" s="73" t="n">
        <f aca="false">L33*3+M33</f>
        <v>4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1</v>
      </c>
      <c r="V33" s="40" t="n">
        <f aca="false">U33*F33</f>
        <v>2</v>
      </c>
      <c r="W33" s="40" t="n">
        <f aca="false">U33*G33</f>
        <v>1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1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3</v>
      </c>
      <c r="AG33" s="40" t="n">
        <f aca="false">SUMIF($E$7:$E$54,$AB33,$G$7:$G$54) + SUMIF($H$7:$H$54,$AB33,$F$7:$F$54)</f>
        <v>2</v>
      </c>
      <c r="AH33" s="40" t="n">
        <f aca="false">(AF33-AG33)*100+AK33*10000+AF33</f>
        <v>40103</v>
      </c>
      <c r="AI33" s="40" t="n">
        <f aca="false">AF33-AG33</f>
        <v>1</v>
      </c>
      <c r="AJ33" s="40" t="n">
        <f aca="false">(AI33-AI37)/AI36</f>
        <v>0.666666666666667</v>
      </c>
      <c r="AK33" s="40" t="n">
        <f aca="false">AC33*3+AD33</f>
        <v>4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874.167261666667</v>
      </c>
      <c r="AO33" s="43" t="str">
        <f aca="false">IF(SUM(AC32:AE35)=12,J34,INDEX(T,79,lang))</f>
        <v>2E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2</v>
      </c>
      <c r="L34" s="76" t="n">
        <f aca="false">VLOOKUP(2,AA32:AK35,3,0)</f>
        <v>1</v>
      </c>
      <c r="M34" s="76" t="n">
        <f aca="false">VLOOKUP(2,AA32:AK35,4,0)</f>
        <v>1</v>
      </c>
      <c r="N34" s="76" t="n">
        <f aca="false">VLOOKUP(2,AA32:AK35,5,0)</f>
        <v>0</v>
      </c>
      <c r="O34" s="76" t="str">
        <f aca="false">VLOOKUP(2,AA32:AK35,6,0) &amp; " - " &amp; VLOOKUP(2,AA32:AK35,7,0)</f>
        <v>3 - 2</v>
      </c>
      <c r="P34" s="77" t="n">
        <f aca="false">L34*3+M34</f>
        <v>4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0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0</v>
      </c>
      <c r="AG34" s="40" t="n">
        <f aca="false">SUMIF($E$7:$E$54,$AB34,$G$7:$G$54) + SUMIF($H$7:$H$54,$AB34,$F$7:$F$54)</f>
        <v>3</v>
      </c>
      <c r="AH34" s="40" t="n">
        <f aca="false">(AF34-AG34)*100+AK34*10000+AF34</f>
        <v>-300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0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0.000425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1F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2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1</v>
      </c>
      <c r="O35" s="76" t="str">
        <f aca="false">VLOOKUP(3,AA32:AK35,6,0) &amp; " - " &amp; VLOOKUP(3,AA32:AK35,7,0)</f>
        <v>2 - 2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1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2</v>
      </c>
      <c r="AH35" s="40" t="n">
        <f aca="false">(AF35-AG35)*100+AK35*10000+AF35</f>
        <v>30002</v>
      </c>
      <c r="AI35" s="40" t="n">
        <f aca="false">AF35-AG35</f>
        <v>0</v>
      </c>
      <c r="AJ35" s="40" t="n">
        <f aca="false">(AI35-AI37)/AI36</f>
        <v>0.5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655.000378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2E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2</v>
      </c>
      <c r="L36" s="88" t="n">
        <f aca="false">VLOOKUP(4,AA32:AK35,3,0)</f>
        <v>0</v>
      </c>
      <c r="M36" s="88" t="n">
        <f aca="false">VLOOKUP(4,AA32:AK35,4,0)</f>
        <v>0</v>
      </c>
      <c r="N36" s="88" t="n">
        <f aca="false">VLOOKUP(4,AA32:AK35,5,0)</f>
        <v>2</v>
      </c>
      <c r="O36" s="88" t="str">
        <f aca="false">VLOOKUP(4,AA32:AK35,6,0) &amp; " - " &amp; VLOOKUP(4,AA32:AK35,7,0)</f>
        <v>0 - 3</v>
      </c>
      <c r="P36" s="89" t="n">
        <f aca="false">L36*3+M36</f>
        <v>0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2</v>
      </c>
      <c r="AD36" s="40" t="n">
        <f aca="false">MAX(AD32:AD35)-MIN(AD32:AD35)+1</f>
        <v>2</v>
      </c>
      <c r="AE36" s="40" t="n">
        <f aca="false">MAX(AE32:AE35)-MIN(AE32:AE35)+1</f>
        <v>3</v>
      </c>
      <c r="AF36" s="40" t="n">
        <f aca="false">MAX(AF32:AF35)-MIN(AF32:AF35)+1</f>
        <v>4</v>
      </c>
      <c r="AG36" s="40" t="n">
        <f aca="false">MAX(AG32:AG35)-MIN(AG32:AG35)+1</f>
        <v>3</v>
      </c>
      <c r="AH36" s="40" t="n">
        <f aca="false">MAX(AH32:AH35)-AH37+1</f>
        <v>40504</v>
      </c>
      <c r="AI36" s="40" t="n">
        <f aca="false">MAX(AI32:AI35)-AI37+1</f>
        <v>6</v>
      </c>
      <c r="AK36" s="40" t="n">
        <f aca="false">MAX(AK32:AK35)-MIN(AK32:AK35)+1</f>
        <v>5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-300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1</v>
      </c>
      <c r="V38" s="40" t="n">
        <f aca="false">U38*F38</f>
        <v>2</v>
      </c>
      <c r="W38" s="40" t="n">
        <f aca="false">U38*G38</f>
        <v>2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2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1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2</v>
      </c>
      <c r="AH38" s="40" t="n">
        <f aca="false">(AF38-AG38)*100+AK38*10000+AF38</f>
        <v>30002</v>
      </c>
      <c r="AI38" s="40" t="n">
        <f aca="false">AF38-AG38</f>
        <v>0</v>
      </c>
      <c r="AJ38" s="40" t="n">
        <f aca="false">(AI38-AI43)/AI42</f>
        <v>0.4</v>
      </c>
      <c r="AK38" s="40" t="n">
        <f aca="false">AC38*3+AD38</f>
        <v>3</v>
      </c>
      <c r="AL38" s="40" t="n">
        <f aca="false">AP38/AP42*1000+AQ38/AQ42*100+AT38/AT42*10+AR38/AR42</f>
        <v>504</v>
      </c>
      <c r="AM38" s="40" t="n">
        <f aca="false">VLOOKUP(AB38,db_fifarank,2,0)/2000000</f>
        <v>0.000801</v>
      </c>
      <c r="AN38" s="42" t="n">
        <f aca="false">1000*AK38/AK42+100*AJ38+10*AF38/AF42+1*AL38/AL42+AM38</f>
        <v>476.231022222347</v>
      </c>
      <c r="AO38" s="43" t="str">
        <f aca="false">IF(SUM(AC38:AE41)=12,J39,INDEX(T,80,lang))</f>
        <v>1F</v>
      </c>
      <c r="AP38" s="44" t="n">
        <f aca="false">SUMPRODUCT(($S$7:$S$54=AB38&amp;"_win")*($U$7:$U$54))+SUMPRODUCT(($T$7:$T$54=AB38&amp;"_win")*($U$7:$U$54))</f>
        <v>1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2</v>
      </c>
      <c r="AS38" s="44" t="n">
        <f aca="false">SUMPRODUCT(($E$7:$E$54=AB38)*($U$7:$U$54)*($G$7:$G$54))+SUMPRODUCT(($H$7:$H$54=AB38)*($U$7:$U$54)*($F$7:$F$54))</f>
        <v>1</v>
      </c>
      <c r="AT38" s="44" t="n">
        <f aca="false">AR38-AS38</f>
        <v>1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/>
      <c r="G39" s="65"/>
      <c r="H39" s="66" t="str">
        <f aca="false">AB8</f>
        <v>Rusia</v>
      </c>
      <c r="J39" s="71" t="str">
        <f aca="false">VLOOKUP(1,AA38:AK41,2,0)</f>
        <v>México</v>
      </c>
      <c r="K39" s="72" t="n">
        <f aca="false">L39+M39+N39</f>
        <v>2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0</v>
      </c>
      <c r="O39" s="72" t="str">
        <f aca="false">VLOOKUP(1,AA38:AK41,6,0) &amp; " - " &amp; VLOOKUP(1,AA38:AK41,7,0)</f>
        <v>3 - 1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/>
      </c>
      <c r="T39" s="41" t="str">
        <f aca="false">IF(S39="","",IF(F39&lt;G39,H39&amp;"_win",IF(F39&gt;G39,H39&amp;"_lose",H39&amp;"_draw")))</f>
        <v/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str">
        <f aca="false">IF(OR(F39="",G39=""),"",IF(F39&gt;G39,1,IF(F39&lt;G39,-1,0)))</f>
        <v/>
      </c>
      <c r="AA39" s="40" t="n">
        <f aca="false">COUNTIF(AN38:AN41,CONCATENATE("&gt;=",AN39))</f>
        <v>1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0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1</v>
      </c>
      <c r="AH39" s="40" t="n">
        <f aca="false">(AF39-AG39)*100+AK39*10000+AF39</f>
        <v>60203</v>
      </c>
      <c r="AI39" s="40" t="n">
        <f aca="false">AF39-AG39</f>
        <v>2</v>
      </c>
      <c r="AJ39" s="40" t="n">
        <f aca="false">(AI39-AI43)/AI42</f>
        <v>0.8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947.143373142857</v>
      </c>
      <c r="AO39" s="43" t="str">
        <f aca="false">IF(SUM(AC38:AE41)=12,J40,INDEX(T,81,lang))</f>
        <v>2F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/>
      <c r="G40" s="65"/>
      <c r="H40" s="66" t="str">
        <f aca="false">AB10</f>
        <v>Egipto</v>
      </c>
      <c r="J40" s="75" t="str">
        <f aca="false">VLOOKUP(2,AA38:AK41,2,0)</f>
        <v>Alemania</v>
      </c>
      <c r="K40" s="76" t="n">
        <f aca="false">L40+M40+N40</f>
        <v>2</v>
      </c>
      <c r="L40" s="76" t="n">
        <f aca="false">VLOOKUP(2,AA38:AK41,3,0)</f>
        <v>1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2 - 2</v>
      </c>
      <c r="P40" s="77" t="n">
        <f aca="false">L40*3+M40</f>
        <v>3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/>
      </c>
      <c r="T40" s="41" t="str">
        <f aca="false">IF(S40="","",IF(F40&lt;G40,H40&amp;"_win",IF(F40&gt;G40,H40&amp;"_lose",H40&amp;"_draw")))</f>
        <v/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str">
        <f aca="false">IF(OR(F40="",G40=""),"",IF(F40&gt;G40,1,IF(F40&lt;G40,-1,0)))</f>
        <v/>
      </c>
      <c r="AA40" s="40" t="n">
        <f aca="false">COUNTIF(AN38:AN41,CONCATENATE("&gt;=",AN40))</f>
        <v>3</v>
      </c>
      <c r="AB40" s="42" t="str">
        <f aca="false">VLOOKUP("Sweden",T,lang,0)</f>
        <v>Suecia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2</v>
      </c>
      <c r="AG40" s="40" t="n">
        <f aca="false">SUMIF($E$7:$E$54,$AB40,$G$7:$G$54) + SUMIF($H$7:$H$54,$AB40,$F$7:$F$54)</f>
        <v>2</v>
      </c>
      <c r="AH40" s="40" t="n">
        <f aca="false">(AF40-AG40)*100+AK40*10000+AF40</f>
        <v>30002</v>
      </c>
      <c r="AI40" s="40" t="n">
        <f aca="false">AF40-AG40</f>
        <v>0</v>
      </c>
      <c r="AJ40" s="40" t="n">
        <f aca="false">(AI40-AI43)/AI42</f>
        <v>0.4</v>
      </c>
      <c r="AK40" s="40" t="n">
        <f aca="false">AC40*3+AD40</f>
        <v>3</v>
      </c>
      <c r="AL40" s="40" t="n">
        <f aca="false">AP40/AP42*1000+AQ40/AQ42*100+AT40/AT42*10+AR40/AR42</f>
        <v>-3</v>
      </c>
      <c r="AM40" s="40" t="n">
        <f aca="false">VLOOKUP(AB40,db_fifarank,2,0)/2000000</f>
        <v>0.000499</v>
      </c>
      <c r="AN40" s="42" t="n">
        <f aca="false">1000*AK40/AK42+100*AJ40+10*AF40/AF42+1*AL40/AL42+AM40</f>
        <v>475.232688726284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1</v>
      </c>
      <c r="AS40" s="44" t="n">
        <f aca="false">SUMPRODUCT(($E$7:$E$54=AB40)*($U$7:$U$54)*($G$7:$G$54))+SUMPRODUCT(($H$7:$H$54=AB40)*($U$7:$U$54)*($F$7:$F$54))</f>
        <v>2</v>
      </c>
      <c r="AT40" s="44" t="n">
        <f aca="false">AR40-AS40</f>
        <v>-1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/>
      <c r="G41" s="65"/>
      <c r="H41" s="66" t="str">
        <f aca="false">AB14</f>
        <v>Portugal</v>
      </c>
      <c r="J41" s="75" t="str">
        <f aca="false">VLOOKUP(3,AA38:AK41,2,0)</f>
        <v>Suecia</v>
      </c>
      <c r="K41" s="76" t="n">
        <f aca="false">L41+M41+N41</f>
        <v>2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1</v>
      </c>
      <c r="O41" s="76" t="str">
        <f aca="false">VLOOKUP(3,AA38:AK41,6,0) &amp; " - " &amp; VLOOKUP(3,AA38:AK41,7,0)</f>
        <v>2 - 2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/>
      </c>
      <c r="T41" s="41" t="str">
        <f aca="false">IF(S41="","",IF(F41&lt;G41,H41&amp;"_win",IF(F41&gt;G41,H41&amp;"_lose",H41&amp;"_draw")))</f>
        <v/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str">
        <f aca="false">IF(OR(F41="",G41=""),"",IF(F41&gt;G41,1,IF(F41&lt;G41,-1,0)))</f>
        <v/>
      </c>
      <c r="AA41" s="40" t="n">
        <f aca="false">COUNTIF(AN38:AN41,CONCATENATE("&gt;=",AN41))</f>
        <v>4</v>
      </c>
      <c r="AB41" s="42" t="str">
        <f aca="false">VLOOKUP("Korea Republic",T,lang,0)</f>
        <v>República de Corea</v>
      </c>
      <c r="AC41" s="40" t="n">
        <f aca="false">COUNTIF($S$7:$T$54,"=" &amp; AB41 &amp; "_win")</f>
        <v>0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1</v>
      </c>
      <c r="AG41" s="40" t="n">
        <f aca="false">SUMIF($E$7:$E$54,$AB41,$G$7:$G$54) + SUMIF($H$7:$H$54,$AB41,$F$7:$F$54)</f>
        <v>3</v>
      </c>
      <c r="AH41" s="40" t="n">
        <f aca="false">(AF41-AG41)*100+AK41*10000+AF41</f>
        <v>-199</v>
      </c>
      <c r="AI41" s="40" t="n">
        <f aca="false">AF41-AG41</f>
        <v>-2</v>
      </c>
      <c r="AJ41" s="40" t="n">
        <f aca="false">(AI41-AI43)/AI42</f>
        <v>0</v>
      </c>
      <c r="AK41" s="40" t="n">
        <f aca="false">AC41*3+AD41</f>
        <v>0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3.33361833333333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/>
      <c r="G42" s="65"/>
      <c r="H42" s="66" t="str">
        <f aca="false">AB16</f>
        <v>Marruecos</v>
      </c>
      <c r="J42" s="87" t="str">
        <f aca="false">VLOOKUP(4,AA38:AK41,2,0)</f>
        <v>República de Corea</v>
      </c>
      <c r="K42" s="88" t="n">
        <f aca="false">L42+M42+N42</f>
        <v>2</v>
      </c>
      <c r="L42" s="88" t="n">
        <f aca="false">VLOOKUP(4,AA38:AK41,3,0)</f>
        <v>0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1 - 3</v>
      </c>
      <c r="P42" s="89" t="n">
        <f aca="false">L42*3+M42</f>
        <v>0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/>
      </c>
      <c r="T42" s="41" t="str">
        <f aca="false">IF(S42="","",IF(F42&lt;G42,H42&amp;"_win",IF(F42&gt;G42,H42&amp;"_lose",H42&amp;"_draw")))</f>
        <v/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str">
        <f aca="false">IF(OR(F42="",G42=""),"",IF(F42&gt;G42,1,IF(F42&lt;G42,-1,0)))</f>
        <v/>
      </c>
      <c r="AC42" s="40" t="n">
        <f aca="false">MAX(AC38:AC41)-MIN(AC38:AC41)+1</f>
        <v>3</v>
      </c>
      <c r="AD42" s="40" t="n">
        <f aca="false">MAX(AD38:AD41)-MIN(AD38:AD41)+1</f>
        <v>1</v>
      </c>
      <c r="AE42" s="40" t="n">
        <f aca="false">MAX(AE38:AE41)-MIN(AE38:AE41)+1</f>
        <v>3</v>
      </c>
      <c r="AF42" s="40" t="n">
        <f aca="false">MAX(AF38:AF41)-MIN(AF38:AF41)+1</f>
        <v>3</v>
      </c>
      <c r="AG42" s="40" t="n">
        <f aca="false">MAX(AG38:AG41)-MIN(AG38:AG41)+1</f>
        <v>3</v>
      </c>
      <c r="AH42" s="40" t="n">
        <f aca="false">MAX(AH38:AH41)-AH43+1</f>
        <v>60403</v>
      </c>
      <c r="AI42" s="40" t="n">
        <f aca="false">MAX(AI38:AI41)-AI43+1</f>
        <v>5</v>
      </c>
      <c r="AK42" s="40" t="n">
        <f aca="false">MAX(AK38:AK41)-MIN(AK38:AK41)+1</f>
        <v>7</v>
      </c>
      <c r="AL42" s="40" t="n">
        <f aca="false">MAX(AL38:AL41)-MIN(AL38:AL41)+1</f>
        <v>508</v>
      </c>
      <c r="AP42" s="40" t="n">
        <f aca="false">MAX(AP38:AP41)-MIN(AP38:AP41)+1</f>
        <v>2</v>
      </c>
      <c r="AQ42" s="40" t="n">
        <f aca="false">MAX(AQ38:AQ41)-MIN(AQ38:AQ41)+1</f>
        <v>1</v>
      </c>
      <c r="AR42" s="40" t="n">
        <f aca="false">MAX(AR38:AR41)-MIN(AR38:AR41)+1</f>
        <v>3</v>
      </c>
      <c r="AS42" s="40" t="n">
        <f aca="false">MAX(AS38:AS41)-MIN(AS38:AS41)+1</f>
        <v>3</v>
      </c>
      <c r="AT42" s="40" t="n">
        <f aca="false">MAX(AT38:AT41)-MIN(AT38:AT41)+1</f>
        <v>3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/>
      <c r="G43" s="65"/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/>
      </c>
      <c r="T43" s="41" t="str">
        <f aca="false">IF(S43="","",IF(F43&lt;G43,H43&amp;"_win",IF(F43&gt;G43,H43&amp;"_lose",H43&amp;"_draw")))</f>
        <v/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str">
        <f aca="false">IF(OR(F43="",G43=""),"",IF(F43&gt;G43,1,IF(F43&lt;G43,-1,0)))</f>
        <v/>
      </c>
      <c r="AH43" s="40" t="n">
        <f aca="false">MIN(AH38:AH41)</f>
        <v>-199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/>
      <c r="G44" s="65"/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/>
      </c>
      <c r="T44" s="41" t="str">
        <f aca="false">IF(S44="","",IF(F44&lt;G44,H44&amp;"_win",IF(F44&gt;G44,H44&amp;"_lose",H44&amp;"_draw")))</f>
        <v/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str">
        <f aca="false">IF(OR(F44="",G44=""),"",IF(F44&gt;G44,1,IF(F44&lt;G44,-1,0)))</f>
        <v/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2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8</v>
      </c>
      <c r="AG44" s="40" t="n">
        <f aca="false">SUMIF($E$7:$E$54,$AB44,$G$7:$G$54) + SUMIF($H$7:$H$54,$AB44,$F$7:$F$54)</f>
        <v>2</v>
      </c>
      <c r="AH44" s="40" t="n">
        <f aca="false">(AF44-AG44)*100+AK44*10000+AF44</f>
        <v>60608</v>
      </c>
      <c r="AI44" s="40" t="n">
        <f aca="false">AF44-AG44</f>
        <v>6</v>
      </c>
      <c r="AJ44" s="40" t="n">
        <f aca="false">(AI44-AI49)/AI48</f>
        <v>0.933333333333333</v>
      </c>
      <c r="AK44" s="40" t="n">
        <f aca="false">AC44*3+AD44</f>
        <v>6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960.476852976191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/>
      <c r="G45" s="65"/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2</v>
      </c>
      <c r="L45" s="72" t="n">
        <f aca="false">VLOOKUP(1,AA44:AK47,3,0)</f>
        <v>2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8 - 2</v>
      </c>
      <c r="P45" s="73" t="n">
        <f aca="false">L45*3+M45</f>
        <v>6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/>
      </c>
      <c r="T45" s="41" t="str">
        <f aca="false">IF(S45="","",IF(F45&lt;G45,H45&amp;"_win",IF(F45&gt;G45,H45&amp;"_lose",H45&amp;"_draw")))</f>
        <v/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str">
        <f aca="false">IF(OR(F45="",G45=""),"",IF(F45&gt;G45,1,IF(F45&lt;G45,-1,0)))</f>
        <v/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2</v>
      </c>
      <c r="AF45" s="40" t="n">
        <f aca="false">SUMIF($E$7:$E$54,$AB45,$F$7:$F$54) + SUMIF($H$7:$H$54,$AB45,$G$7:$G$54)</f>
        <v>1</v>
      </c>
      <c r="AG45" s="40" t="n">
        <f aca="false">SUMIF($E$7:$E$54,$AB45,$G$7:$G$54) + SUMIF($H$7:$H$54,$AB45,$F$7:$F$54)</f>
        <v>9</v>
      </c>
      <c r="AH45" s="40" t="n">
        <f aca="false">(AF45-AG45)*100+AK45*10000+AF45</f>
        <v>-799</v>
      </c>
      <c r="AI45" s="40" t="n">
        <f aca="false">AF45-AG45</f>
        <v>-8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1.2503105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/>
      <c r="G46" s="65"/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2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8 - 2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/>
      </c>
      <c r="T46" s="41" t="str">
        <f aca="false">IF(S46="","",IF(F46&lt;G46,H46&amp;"_win",IF(F46&gt;G46,H46&amp;"_lose",H46&amp;"_draw")))</f>
        <v/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str">
        <f aca="false">IF(OR(F46="",G46=""),"",IF(F46&gt;G46,1,IF(F46&lt;G46,-1,0)))</f>
        <v/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3</v>
      </c>
      <c r="AG46" s="40" t="n">
        <f aca="false">SUMIF($E$7:$E$54,$AB46,$G$7:$G$54) + SUMIF($H$7:$H$54,$AB46,$F$7:$F$54)</f>
        <v>7</v>
      </c>
      <c r="AH46" s="40" t="n">
        <f aca="false">(AF46-AG46)*100+AK46*10000+AF46</f>
        <v>-397</v>
      </c>
      <c r="AI46" s="40" t="n">
        <f aca="false">AF46-AG46</f>
        <v>-4</v>
      </c>
      <c r="AJ46" s="40" t="n">
        <f aca="false">(AI46-AI49)/AI48</f>
        <v>0.266666666666667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30.4170856666667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/>
      <c r="G47" s="65"/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2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3 - 7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/>
      </c>
      <c r="T47" s="41" t="str">
        <f aca="false">IF(S47="","",IF(F47&lt;G47,H47&amp;"_win",IF(F47&gt;G47,H47&amp;"_lose",H47&amp;"_draw")))</f>
        <v/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str">
        <f aca="false">IF(OR(F47="",G47=""),"",IF(F47&gt;G47,1,IF(F47&lt;G47,-1,0)))</f>
        <v/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2</v>
      </c>
      <c r="AH47" s="40" t="n">
        <f aca="false">(AF47-AG47)*100+AK47*10000+AF47</f>
        <v>60608</v>
      </c>
      <c r="AI47" s="40" t="n">
        <f aca="false">AF47-AG47</f>
        <v>6</v>
      </c>
      <c r="AJ47" s="40" t="n">
        <f aca="false">(AI47-AI49)/AI48</f>
        <v>0.933333333333333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960.47671397619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/>
      <c r="G48" s="65"/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2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2</v>
      </c>
      <c r="O48" s="88" t="str">
        <f aca="false">VLOOKUP(4,AA44:AK47,6,0) &amp; " - " &amp; VLOOKUP(4,AA44:AK47,7,0)</f>
        <v>1 - 9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/>
      </c>
      <c r="T48" s="41" t="str">
        <f aca="false">IF(S48="","",IF(F48&lt;G48,H48&amp;"_win",IF(F48&gt;G48,H48&amp;"_lose",H48&amp;"_draw")))</f>
        <v/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str">
        <f aca="false">IF(OR(F48="",G48=""),"",IF(F48&gt;G48,1,IF(F48&lt;G48,-1,0)))</f>
        <v/>
      </c>
      <c r="AC48" s="40" t="n">
        <f aca="false">MAX(AC44:AC47)-MIN(AC44:AC47)+1</f>
        <v>3</v>
      </c>
      <c r="AD48" s="40" t="n">
        <f aca="false">MAX(AD44:AD47)-MIN(AD44:AD47)+1</f>
        <v>1</v>
      </c>
      <c r="AE48" s="40" t="n">
        <f aca="false">MAX(AE44:AE47)-MIN(AE44:AE47)+1</f>
        <v>3</v>
      </c>
      <c r="AF48" s="40" t="n">
        <f aca="false">MAX(AF44:AF47)-MIN(AF44:AF47)+1</f>
        <v>8</v>
      </c>
      <c r="AG48" s="40" t="n">
        <f aca="false">MAX(AG44:AG47)-MIN(AG44:AG47)+1</f>
        <v>8</v>
      </c>
      <c r="AH48" s="40" t="n">
        <f aca="false">MAX(AH44:AH47)-AH49+1</f>
        <v>61408</v>
      </c>
      <c r="AI48" s="40" t="n">
        <f aca="false">MAX(AI44:AI47)-AI49+1</f>
        <v>15</v>
      </c>
      <c r="AK48" s="40" t="n">
        <f aca="false">MAX(AK44:AK47)-MIN(AK44:AK47)+1</f>
        <v>7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/>
      <c r="G49" s="65"/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/>
      </c>
      <c r="T49" s="41" t="str">
        <f aca="false">IF(S49="","",IF(F49&lt;G49,H49&amp;"_win",IF(F49&gt;G49,H49&amp;"_lose",H49&amp;"_draw")))</f>
        <v/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str">
        <f aca="false">IF(OR(F49="",G49=""),"",IF(F49&gt;G49,1,IF(F49&lt;G49,-1,0)))</f>
        <v/>
      </c>
      <c r="AH49" s="40" t="n">
        <f aca="false">MIN(AH44:AH47)</f>
        <v>-799</v>
      </c>
      <c r="AI49" s="40" t="n">
        <f aca="false">MIN(AI44:AI47)</f>
        <v>-8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/>
      <c r="G50" s="65"/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/>
      </c>
      <c r="T50" s="41" t="str">
        <f aca="false">IF(S50="","",IF(F50&lt;G50,H50&amp;"_win",IF(F50&gt;G50,H50&amp;"_lose",H50&amp;"_draw")))</f>
        <v/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str">
        <f aca="false">IF(OR(F50="",G50=""),"",IF(F50&gt;G50,1,IF(F50&lt;G50,-1,0)))</f>
        <v/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5</v>
      </c>
      <c r="AH50" s="40" t="n">
        <f aca="false">(AF50-AG50)*100+AK50*10000+AF50</f>
        <v>-399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2.5006045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2</v>
      </c>
      <c r="L51" s="72" t="n">
        <f aca="false">VLOOKUP(1,AA50:AK53,3,0)</f>
        <v>1</v>
      </c>
      <c r="M51" s="72" t="n">
        <f aca="false">VLOOKUP(1,AA50:AK53,4,0)</f>
        <v>1</v>
      </c>
      <c r="N51" s="72" t="n">
        <f aca="false">VLOOKUP(1,AA50:AK53,5,0)</f>
        <v>0</v>
      </c>
      <c r="O51" s="72" t="str">
        <f aca="false">VLOOKUP(1,AA50:AK53,6,0) &amp; " - " &amp; VLOOKUP(1,AA50:AK53,7,0)</f>
        <v>4 - 3</v>
      </c>
      <c r="P51" s="73" t="n">
        <f aca="false">L51*3+M51</f>
        <v>4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3</v>
      </c>
      <c r="AH51" s="40" t="n">
        <f aca="false">(AF51-AG51)*100+AK51*10000+AF51</f>
        <v>40104</v>
      </c>
      <c r="AI51" s="40" t="n">
        <f aca="false">AF51-AG51</f>
        <v>1</v>
      </c>
      <c r="AJ51" s="40" t="n">
        <f aca="false">(AI51-AI55)/AI54</f>
        <v>0.714285714285714</v>
      </c>
      <c r="AK51" s="40" t="n">
        <f aca="false">AC51*3+AD51</f>
        <v>4</v>
      </c>
      <c r="AL51" s="40" t="n">
        <f aca="false">AP51/AP54*1000+AQ51/AQ54*100+AT51/AT54*10+AR51/AR54</f>
        <v>50.6666666666667</v>
      </c>
      <c r="AM51" s="40" t="n">
        <f aca="false">VLOOKUP(AB51,db_fifarank,2,0)/2000000</f>
        <v>0.000442</v>
      </c>
      <c r="AN51" s="42" t="n">
        <f aca="false">1000*AK51/AK54+100*AJ51+10*AF51/AF54+1*AL51/AL54+AM51</f>
        <v>882.409658589862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1</v>
      </c>
      <c r="AR51" s="44" t="n">
        <f aca="false">SUMPRODUCT(($E$7:$E$54=AB51)*($U$7:$U$54)*($F$7:$F$54))+SUMPRODUCT(($H$7:$H$54=AB51)*($U$7:$U$54)*($G$7:$G$54))</f>
        <v>2</v>
      </c>
      <c r="AS51" s="44" t="n">
        <f aca="false">SUMPRODUCT(($E$7:$E$54=AB51)*($U$7:$U$54)*($G$7:$G$54))+SUMPRODUCT(($H$7:$H$54=AB51)*($U$7:$U$54)*($F$7:$F$54))</f>
        <v>2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2</v>
      </c>
      <c r="L52" s="76" t="n">
        <f aca="false">VLOOKUP(2,AA50:AK53,3,0)</f>
        <v>1</v>
      </c>
      <c r="M52" s="76" t="n">
        <f aca="false">VLOOKUP(2,AA50:AK53,4,0)</f>
        <v>1</v>
      </c>
      <c r="N52" s="76" t="n">
        <f aca="false">VLOOKUP(2,AA50:AK53,5,0)</f>
        <v>0</v>
      </c>
      <c r="O52" s="76" t="str">
        <f aca="false">VLOOKUP(2,AA50:AK53,6,0) &amp; " - " &amp; VLOOKUP(2,AA50:AK53,7,0)</f>
        <v>4 - 3</v>
      </c>
      <c r="P52" s="77" t="n">
        <f aca="false">L52*3+M52</f>
        <v>4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3</v>
      </c>
      <c r="AB52" s="42" t="str">
        <f aca="false">VLOOKUP("Colombia",T,lang,0)</f>
        <v>Colombia</v>
      </c>
      <c r="AC52" s="40" t="n">
        <f aca="false">COUNTIF($S$7:$T$54,"=" &amp; AB52 &amp; "_win")</f>
        <v>1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4</v>
      </c>
      <c r="AG52" s="40" t="n">
        <f aca="false">SUMIF($E$7:$E$54,$AB52,$G$7:$G$54) + SUMIF($H$7:$H$54,$AB52,$F$7:$F$54)</f>
        <v>2</v>
      </c>
      <c r="AH52" s="40" t="n">
        <f aca="false">(AF52-AG52)*100+AK52*10000+AF52</f>
        <v>30204</v>
      </c>
      <c r="AI52" s="40" t="n">
        <f aca="false">AF52-AG52</f>
        <v>2</v>
      </c>
      <c r="AJ52" s="40" t="n">
        <f aca="false">(AI52-AI55)/AI54</f>
        <v>0.857142857142857</v>
      </c>
      <c r="AK52" s="40" t="n">
        <f aca="false">AC52*3+AD52</f>
        <v>3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695.714824714286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Colombia</v>
      </c>
      <c r="K53" s="76" t="n">
        <f aca="false">L53+M53+N53</f>
        <v>2</v>
      </c>
      <c r="L53" s="76" t="n">
        <f aca="false">VLOOKUP(3,AA50:AK53,3,0)</f>
        <v>1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4 - 2</v>
      </c>
      <c r="P53" s="77" t="n">
        <f aca="false">L53*3+M53</f>
        <v>3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1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4</v>
      </c>
      <c r="AG53" s="40" t="n">
        <f aca="false">SUMIF($E$7:$E$54,$AB53,$G$7:$G$54) + SUMIF($H$7:$H$54,$AB53,$F$7:$F$54)</f>
        <v>3</v>
      </c>
      <c r="AH53" s="40" t="n">
        <f aca="false">(AF53-AG53)*100+AK53*10000+AF53</f>
        <v>40104</v>
      </c>
      <c r="AI53" s="40" t="n">
        <f aca="false">AF53-AG53</f>
        <v>1</v>
      </c>
      <c r="AJ53" s="40" t="n">
        <f aca="false">(AI53-AI55)/AI54</f>
        <v>0.714285714285714</v>
      </c>
      <c r="AK53" s="40" t="n">
        <f aca="false">AC53*3+AD53</f>
        <v>4</v>
      </c>
      <c r="AL53" s="40" t="n">
        <f aca="false">AP53/AP54*1000+AQ53/AQ54*100+AT53/AT54*10+AR53/AR54</f>
        <v>50.6666666666667</v>
      </c>
      <c r="AM53" s="40" t="n">
        <f aca="false">VLOOKUP(AB53,db_fifarank,2,0)/2000000</f>
        <v>0.0003</v>
      </c>
      <c r="AN53" s="42" t="n">
        <f aca="false">1000*AK53/AK54+100*AJ53+10*AF53/AF54+1*AL53/AL54+AM53</f>
        <v>882.409516589862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1</v>
      </c>
      <c r="AR53" s="44" t="n">
        <f aca="false">SUMPRODUCT(($E$7:$E$54=AB53)*($U$7:$U$54)*($F$7:$F$54))+SUMPRODUCT(($H$7:$H$54=AB53)*($U$7:$U$54)*($G$7:$G$54))</f>
        <v>2</v>
      </c>
      <c r="AS53" s="44" t="n">
        <f aca="false">SUMPRODUCT(($E$7:$E$54=AB53)*($U$7:$U$54)*($G$7:$G$54))+SUMPRODUCT(($H$7:$H$54=AB53)*($U$7:$U$54)*($F$7:$F$54))</f>
        <v>2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/>
      <c r="G54" s="84"/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2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2</v>
      </c>
      <c r="O54" s="88" t="str">
        <f aca="false">VLOOKUP(4,AA50:AK53,6,0) &amp; " - " &amp; VLOOKUP(4,AA50:AK53,7,0)</f>
        <v>1 - 5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2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4</v>
      </c>
      <c r="AH54" s="40" t="n">
        <f aca="false">MAX(AH50:AH53)-AH55+1</f>
        <v>40504</v>
      </c>
      <c r="AI54" s="40" t="n">
        <f aca="false">MAX(AI50:AI53)-AI55+1</f>
        <v>7</v>
      </c>
      <c r="AK54" s="40" t="n">
        <f aca="false">MAX(AK50:AK53)-MIN(AK50:AK53)+1</f>
        <v>5</v>
      </c>
      <c r="AL54" s="40" t="n">
        <f aca="false">MAX(AL50:AL53)-MIN(AL50:AL53)+1</f>
        <v>51.6666666666667</v>
      </c>
      <c r="AP54" s="40" t="n">
        <f aca="false">MAX(AP50:AP53)-MIN(AP50:AP53)+1</f>
        <v>1</v>
      </c>
      <c r="AQ54" s="40" t="n">
        <f aca="false">MAX(AQ50:AQ53)-MIN(AQ50:AQ53)+1</f>
        <v>2</v>
      </c>
      <c r="AR54" s="40" t="n">
        <f aca="false">MAX(AR50:AR53)-MIN(AR50:AR53)+1</f>
        <v>3</v>
      </c>
      <c r="AS54" s="40" t="n">
        <f aca="false">MAX(AS50:AS53)-MIN(AS50:AS53)+1</f>
        <v>3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-399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between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  <dataValidation allowBlank="true" operator="between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2018-06-24T16:41:44Z</dcterms:modified>
  <cp:revision>14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