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79.png" ContentType="image/png"/>
  <Override PartName="/xl/media/image378.png" ContentType="image/png"/>
  <Override PartName="/xl/media/image377.png" ContentType="image/png"/>
  <Override PartName="/xl/media/image376.png" ContentType="image/png"/>
  <Override PartName="/xl/media/image375.png" ContentType="image/png"/>
  <Override PartName="/xl/media/image374.png" ContentType="image/png"/>
  <Override PartName="/xl/media/image373.png" ContentType="image/png"/>
  <Override PartName="/xl/media/image372.png" ContentType="image/png"/>
  <Override PartName="/xl/media/image370.png" ContentType="image/png"/>
  <Override PartName="/xl/media/image369.png" ContentType="image/png"/>
  <Override PartName="/xl/media/image368.png" ContentType="image/png"/>
  <Override PartName="/xl/media/image367.png" ContentType="image/png"/>
  <Override PartName="/xl/media/image294.png" ContentType="image/png"/>
  <Override PartName="/xl/media/image361.png" ContentType="image/png"/>
  <Override PartName="/xl/media/image293.png" ContentType="image/png"/>
  <Override PartName="/xl/media/image360.png" ContentType="image/png"/>
  <Override PartName="/xl/media/image292.png" ContentType="image/png"/>
  <Override PartName="/xl/media/image291.png" ContentType="image/png"/>
  <Override PartName="/xl/media/image371.png" ContentType="image/png"/>
  <Override PartName="/xl/media/image289.png" ContentType="image/png"/>
  <Override PartName="/xl/media/image331.png" ContentType="image/png"/>
  <Override PartName="/xl/media/image356.png" ContentType="image/png"/>
  <Override PartName="/xl/media/image296.png" ContentType="image/png"/>
  <Override PartName="/xl/media/image363.png" ContentType="image/png"/>
  <Override PartName="/xl/media/image290.png" ContentType="image/png"/>
  <Override PartName="/xl/media/image295.png" ContentType="image/png"/>
  <Override PartName="/xl/media/image362.png" ContentType="image/png"/>
  <Override PartName="/xl/media/image297.png" ContentType="image/png"/>
  <Override PartName="/xl/media/image364.png" ContentType="image/png"/>
  <Override PartName="/xl/media/image298.png" ContentType="image/png"/>
  <Override PartName="/xl/media/image340.png" ContentType="image/png"/>
  <Override PartName="/xl/media/image365.png" ContentType="image/png"/>
  <Override PartName="/xl/media/image299.png" ContentType="image/png"/>
  <Override PartName="/xl/media/image341.png" ContentType="image/png"/>
  <Override PartName="/xl/media/image366.png" ContentType="image/png"/>
  <Override PartName="/xl/media/image324.png" ContentType="image/png"/>
  <Override PartName="/xl/media/image349.png" ContentType="image/png"/>
  <Override PartName="/xl/media/image323.png" ContentType="image/png"/>
  <Override PartName="/xl/media/image348.png" ContentType="image/png"/>
  <Override PartName="/xl/media/image322.png" ContentType="image/png"/>
  <Override PartName="/xl/media/image347.png" ContentType="image/png"/>
  <Override PartName="/xl/media/image321.png" ContentType="image/png"/>
  <Override PartName="/xl/media/image346.png" ContentType="image/png"/>
  <Override PartName="/xl/media/image320.png" ContentType="image/png"/>
  <Override PartName="/xl/media/image345.png" ContentType="image/png"/>
  <Override PartName="/xl/media/image319.png" ContentType="image/png"/>
  <Override PartName="/xl/media/image318.png" ContentType="image/png"/>
  <Override PartName="/xl/media/image317.png" ContentType="image/png"/>
  <Override PartName="/xl/media/image316.png" ContentType="image/png"/>
  <Override PartName="/xl/media/image315.png" ContentType="image/png"/>
  <Override PartName="/xl/media/image314.png" ContentType="image/png"/>
  <Override PartName="/xl/media/image339.png" ContentType="image/png"/>
  <Override PartName="/xl/media/image313.png" ContentType="image/png"/>
  <Override PartName="/xl/media/image384.png" ContentType="image/png"/>
  <Override PartName="/xl/media/image338.png" ContentType="image/png"/>
  <Override PartName="/xl/media/image312.png" ContentType="image/png"/>
  <Override PartName="/xl/media/image383.png" ContentType="image/png"/>
  <Override PartName="/xl/media/image337.png" ContentType="image/png"/>
  <Override PartName="/xl/media/image311.png" ContentType="image/png"/>
  <Override PartName="/xl/media/image382.png" ContentType="image/png"/>
  <Override PartName="/xl/media/image336.png" ContentType="image/png"/>
  <Override PartName="/xl/media/image310.png" ContentType="image/png"/>
  <Override PartName="/xl/media/image381.png" ContentType="image/png"/>
  <Override PartName="/xl/media/image335.png" ContentType="image/png"/>
  <Override PartName="/xl/media/image309.png" ContentType="image/png"/>
  <Override PartName="/xl/media/image308.png" ContentType="image/png"/>
  <Override PartName="/xl/media/image307.png" ContentType="image/png"/>
  <Override PartName="/xl/media/image306.png" ContentType="image/png"/>
  <Override PartName="/xl/media/image305.png" ContentType="image/png"/>
  <Override PartName="/xl/media/image304.png" ContentType="image/png"/>
  <Override PartName="/xl/media/image329.png" ContentType="image/png"/>
  <Override PartName="/xl/media/image303.png" ContentType="image/png"/>
  <Override PartName="/xl/media/image328.png" ContentType="image/png"/>
  <Override PartName="/xl/media/image302.png" ContentType="image/png"/>
  <Override PartName="/xl/media/image327.png" ContentType="image/png"/>
  <Override PartName="/xl/media/image301.png" ContentType="image/png"/>
  <Override PartName="/xl/media/image326.png" ContentType="image/png"/>
  <Override PartName="/xl/media/image300.png" ContentType="image/png"/>
  <Override PartName="/xl/media/image325.png" ContentType="image/png"/>
  <Override PartName="/xl/media/image330.png" ContentType="image/png"/>
  <Override PartName="/xl/media/image355.png" ContentType="image/png"/>
  <Override PartName="/xl/media/image332.png" ContentType="image/png"/>
  <Override PartName="/xl/media/image357.png" ContentType="image/png"/>
  <Override PartName="/xl/media/image333.png" ContentType="image/png"/>
  <Override PartName="/xl/media/image358.png" ContentType="image/png"/>
  <Override PartName="/xl/media/image380.png" ContentType="image/png"/>
  <Override PartName="/xl/media/image334.png" ContentType="image/png"/>
  <Override PartName="/xl/media/image359.png" ContentType="image/png"/>
  <Override PartName="/xl/media/image342.png" ContentType="image/png"/>
  <Override PartName="/xl/media/image343.png" ContentType="image/png"/>
  <Override PartName="/xl/media/image344.png" ContentType="image/png"/>
  <Override PartName="/xl/media/image350.png" ContentType="image/png"/>
  <Override PartName="/xl/media/image351.png" ContentType="image/png"/>
  <Override PartName="/xl/media/image352.png" ContentType="image/png"/>
  <Override PartName="/xl/media/image353.png" ContentType="image/png"/>
  <Override PartName="/xl/media/image35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<sst xmlns="http://schemas.openxmlformats.org/spreadsheetml/2006/main" count="4451" uniqueCount="2560">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</sst>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8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6"/>
      <color rgb="FFFFFFFF"/>
      <name val="Calibri"/>
      <family val="2"/>
      <charset val="1"/>
    </font>
    <font>
      <sz val="14"/>
      <color rgb="FF0000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6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9.png"/><Relationship Id="rId2" Type="http://schemas.openxmlformats.org/officeDocument/2006/relationships/image" Target="../media/image290.png"/><Relationship Id="rId3" Type="http://schemas.openxmlformats.org/officeDocument/2006/relationships/image" Target="../media/image291.png"/><Relationship Id="rId4" Type="http://schemas.openxmlformats.org/officeDocument/2006/relationships/image" Target="../media/image292.png"/><Relationship Id="rId5" Type="http://schemas.openxmlformats.org/officeDocument/2006/relationships/image" Target="../media/image293.png"/><Relationship Id="rId6" Type="http://schemas.openxmlformats.org/officeDocument/2006/relationships/image" Target="../media/image294.png"/><Relationship Id="rId7" Type="http://schemas.openxmlformats.org/officeDocument/2006/relationships/image" Target="../media/image295.png"/><Relationship Id="rId8" Type="http://schemas.openxmlformats.org/officeDocument/2006/relationships/image" Target="../media/image296.png"/><Relationship Id="rId9" Type="http://schemas.openxmlformats.org/officeDocument/2006/relationships/image" Target="../media/image297.png"/><Relationship Id="rId10" Type="http://schemas.openxmlformats.org/officeDocument/2006/relationships/image" Target="../media/image298.png"/><Relationship Id="rId11" Type="http://schemas.openxmlformats.org/officeDocument/2006/relationships/image" Target="../media/image299.png"/><Relationship Id="rId12" Type="http://schemas.openxmlformats.org/officeDocument/2006/relationships/image" Target="../media/image300.png"/><Relationship Id="rId13" Type="http://schemas.openxmlformats.org/officeDocument/2006/relationships/image" Target="../media/image301.png"/><Relationship Id="rId14" Type="http://schemas.openxmlformats.org/officeDocument/2006/relationships/image" Target="../media/image302.png"/><Relationship Id="rId15" Type="http://schemas.openxmlformats.org/officeDocument/2006/relationships/image" Target="../media/image303.png"/><Relationship Id="rId16" Type="http://schemas.openxmlformats.org/officeDocument/2006/relationships/image" Target="../media/image304.png"/><Relationship Id="rId17" Type="http://schemas.openxmlformats.org/officeDocument/2006/relationships/image" Target="../media/image305.png"/><Relationship Id="rId18" Type="http://schemas.openxmlformats.org/officeDocument/2006/relationships/image" Target="../media/image306.png"/><Relationship Id="rId19" Type="http://schemas.openxmlformats.org/officeDocument/2006/relationships/image" Target="../media/image307.png"/><Relationship Id="rId20" Type="http://schemas.openxmlformats.org/officeDocument/2006/relationships/image" Target="../media/image308.png"/><Relationship Id="rId21" Type="http://schemas.openxmlformats.org/officeDocument/2006/relationships/image" Target="../media/image309.png"/><Relationship Id="rId22" Type="http://schemas.openxmlformats.org/officeDocument/2006/relationships/image" Target="../media/image310.png"/><Relationship Id="rId23" Type="http://schemas.openxmlformats.org/officeDocument/2006/relationships/image" Target="../media/image311.png"/><Relationship Id="rId24" Type="http://schemas.openxmlformats.org/officeDocument/2006/relationships/image" Target="../media/image312.png"/><Relationship Id="rId25" Type="http://schemas.openxmlformats.org/officeDocument/2006/relationships/image" Target="../media/image313.png"/><Relationship Id="rId26" Type="http://schemas.openxmlformats.org/officeDocument/2006/relationships/image" Target="../media/image314.png"/><Relationship Id="rId27" Type="http://schemas.openxmlformats.org/officeDocument/2006/relationships/image" Target="../media/image315.png"/><Relationship Id="rId28" Type="http://schemas.openxmlformats.org/officeDocument/2006/relationships/image" Target="../media/image316.png"/><Relationship Id="rId29" Type="http://schemas.openxmlformats.org/officeDocument/2006/relationships/image" Target="../media/image317.png"/><Relationship Id="rId30" Type="http://schemas.openxmlformats.org/officeDocument/2006/relationships/image" Target="../media/image318.png"/><Relationship Id="rId31" Type="http://schemas.openxmlformats.org/officeDocument/2006/relationships/image" Target="../media/image319.png"/><Relationship Id="rId32" Type="http://schemas.openxmlformats.org/officeDocument/2006/relationships/image" Target="../media/image320.png"/><Relationship Id="rId33" Type="http://schemas.openxmlformats.org/officeDocument/2006/relationships/image" Target="../media/image321.png"/><Relationship Id="rId34" Type="http://schemas.openxmlformats.org/officeDocument/2006/relationships/image" Target="../media/image322.png"/><Relationship Id="rId35" Type="http://schemas.openxmlformats.org/officeDocument/2006/relationships/image" Target="../media/image323.png"/><Relationship Id="rId36" Type="http://schemas.openxmlformats.org/officeDocument/2006/relationships/image" Target="../media/image324.png"/><Relationship Id="rId37" Type="http://schemas.openxmlformats.org/officeDocument/2006/relationships/image" Target="../media/image325.png"/><Relationship Id="rId38" Type="http://schemas.openxmlformats.org/officeDocument/2006/relationships/image" Target="../media/image326.png"/><Relationship Id="rId39" Type="http://schemas.openxmlformats.org/officeDocument/2006/relationships/image" Target="../media/image327.png"/><Relationship Id="rId40" Type="http://schemas.openxmlformats.org/officeDocument/2006/relationships/image" Target="../media/image328.png"/><Relationship Id="rId41" Type="http://schemas.openxmlformats.org/officeDocument/2006/relationships/image" Target="../media/image329.png"/><Relationship Id="rId42" Type="http://schemas.openxmlformats.org/officeDocument/2006/relationships/image" Target="../media/image330.png"/><Relationship Id="rId43" Type="http://schemas.openxmlformats.org/officeDocument/2006/relationships/image" Target="../media/image331.png"/><Relationship Id="rId44" Type="http://schemas.openxmlformats.org/officeDocument/2006/relationships/image" Target="../media/image332.png"/><Relationship Id="rId45" Type="http://schemas.openxmlformats.org/officeDocument/2006/relationships/image" Target="../media/image333.png"/><Relationship Id="rId46" Type="http://schemas.openxmlformats.org/officeDocument/2006/relationships/image" Target="../media/image334.png"/><Relationship Id="rId47" Type="http://schemas.openxmlformats.org/officeDocument/2006/relationships/image" Target="../media/image335.png"/><Relationship Id="rId48" Type="http://schemas.openxmlformats.org/officeDocument/2006/relationships/image" Target="../media/image336.png"/><Relationship Id="rId49" Type="http://schemas.openxmlformats.org/officeDocument/2006/relationships/image" Target="../media/image337.png"/><Relationship Id="rId50" Type="http://schemas.openxmlformats.org/officeDocument/2006/relationships/image" Target="../media/image338.png"/><Relationship Id="rId51" Type="http://schemas.openxmlformats.org/officeDocument/2006/relationships/image" Target="../media/image339.png"/><Relationship Id="rId52" Type="http://schemas.openxmlformats.org/officeDocument/2006/relationships/image" Target="../media/image340.png"/><Relationship Id="rId53" Type="http://schemas.openxmlformats.org/officeDocument/2006/relationships/image" Target="../media/image341.png"/><Relationship Id="rId54" Type="http://schemas.openxmlformats.org/officeDocument/2006/relationships/image" Target="../media/image342.png"/><Relationship Id="rId55" Type="http://schemas.openxmlformats.org/officeDocument/2006/relationships/image" Target="../media/image343.png"/><Relationship Id="rId56" Type="http://schemas.openxmlformats.org/officeDocument/2006/relationships/image" Target="../media/image344.png"/><Relationship Id="rId57" Type="http://schemas.openxmlformats.org/officeDocument/2006/relationships/image" Target="../media/image345.png"/><Relationship Id="rId58" Type="http://schemas.openxmlformats.org/officeDocument/2006/relationships/image" Target="../media/image346.png"/><Relationship Id="rId59" Type="http://schemas.openxmlformats.org/officeDocument/2006/relationships/image" Target="../media/image347.png"/><Relationship Id="rId60" Type="http://schemas.openxmlformats.org/officeDocument/2006/relationships/image" Target="../media/image348.png"/><Relationship Id="rId61" Type="http://schemas.openxmlformats.org/officeDocument/2006/relationships/image" Target="../media/image349.png"/><Relationship Id="rId62" Type="http://schemas.openxmlformats.org/officeDocument/2006/relationships/image" Target="../media/image350.png"/><Relationship Id="rId63" Type="http://schemas.openxmlformats.org/officeDocument/2006/relationships/image" Target="../media/image351.png"/><Relationship Id="rId64" Type="http://schemas.openxmlformats.org/officeDocument/2006/relationships/image" Target="../media/image352.png"/><Relationship Id="rId65" Type="http://schemas.openxmlformats.org/officeDocument/2006/relationships/image" Target="../media/image353.png"/><Relationship Id="rId66" Type="http://schemas.openxmlformats.org/officeDocument/2006/relationships/image" Target="../media/image354.png"/><Relationship Id="rId67" Type="http://schemas.openxmlformats.org/officeDocument/2006/relationships/image" Target="../media/image355.png"/><Relationship Id="rId68" Type="http://schemas.openxmlformats.org/officeDocument/2006/relationships/image" Target="../media/image356.png"/><Relationship Id="rId69" Type="http://schemas.openxmlformats.org/officeDocument/2006/relationships/image" Target="../media/image357.png"/><Relationship Id="rId70" Type="http://schemas.openxmlformats.org/officeDocument/2006/relationships/image" Target="../media/image358.png"/><Relationship Id="rId71" Type="http://schemas.openxmlformats.org/officeDocument/2006/relationships/image" Target="../media/image359.png"/><Relationship Id="rId72" Type="http://schemas.openxmlformats.org/officeDocument/2006/relationships/image" Target="../media/image360.png"/><Relationship Id="rId73" Type="http://schemas.openxmlformats.org/officeDocument/2006/relationships/image" Target="../media/image361.png"/><Relationship Id="rId74" Type="http://schemas.openxmlformats.org/officeDocument/2006/relationships/image" Target="../media/image362.png"/><Relationship Id="rId75" Type="http://schemas.openxmlformats.org/officeDocument/2006/relationships/image" Target="../media/image363.png"/><Relationship Id="rId76" Type="http://schemas.openxmlformats.org/officeDocument/2006/relationships/image" Target="../media/image364.png"/><Relationship Id="rId77" Type="http://schemas.openxmlformats.org/officeDocument/2006/relationships/image" Target="../media/image365.png"/><Relationship Id="rId78" Type="http://schemas.openxmlformats.org/officeDocument/2006/relationships/image" Target="../media/image366.png"/><Relationship Id="rId79" Type="http://schemas.openxmlformats.org/officeDocument/2006/relationships/image" Target="../media/image367.png"/><Relationship Id="rId80" Type="http://schemas.openxmlformats.org/officeDocument/2006/relationships/image" Target="../media/image368.png"/><Relationship Id="rId81" Type="http://schemas.openxmlformats.org/officeDocument/2006/relationships/image" Target="../media/image369.png"/><Relationship Id="rId82" Type="http://schemas.openxmlformats.org/officeDocument/2006/relationships/image" Target="../media/image370.png"/><Relationship Id="rId83" Type="http://schemas.openxmlformats.org/officeDocument/2006/relationships/image" Target="../media/image371.png"/><Relationship Id="rId84" Type="http://schemas.openxmlformats.org/officeDocument/2006/relationships/image" Target="../media/image372.png"/><Relationship Id="rId85" Type="http://schemas.openxmlformats.org/officeDocument/2006/relationships/image" Target="../media/image373.png"/><Relationship Id="rId86" Type="http://schemas.openxmlformats.org/officeDocument/2006/relationships/image" Target="../media/image374.png"/><Relationship Id="rId87" Type="http://schemas.openxmlformats.org/officeDocument/2006/relationships/image" Target="../media/image375.png"/><Relationship Id="rId88" Type="http://schemas.openxmlformats.org/officeDocument/2006/relationships/image" Target="../media/image376.png"/><Relationship Id="rId89" Type="http://schemas.openxmlformats.org/officeDocument/2006/relationships/image" Target="../media/image377.png"/><Relationship Id="rId90" Type="http://schemas.openxmlformats.org/officeDocument/2006/relationships/image" Target="../media/image378.png"/><Relationship Id="rId91" Type="http://schemas.openxmlformats.org/officeDocument/2006/relationships/image" Target="../media/image379.png"/><Relationship Id="rId92" Type="http://schemas.openxmlformats.org/officeDocument/2006/relationships/image" Target="../media/image380.png"/><Relationship Id="rId93" Type="http://schemas.openxmlformats.org/officeDocument/2006/relationships/image" Target="../media/image381.png"/><Relationship Id="rId94" Type="http://schemas.openxmlformats.org/officeDocument/2006/relationships/image" Target="../media/image382.png"/><Relationship Id="rId95" Type="http://schemas.openxmlformats.org/officeDocument/2006/relationships/image" Target="../media/image383.png"/><Relationship Id="rId96" Type="http://schemas.openxmlformats.org/officeDocument/2006/relationships/image" Target="../media/image38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1484280</xdr:colOff>
      <xdr:row>6</xdr:row>
      <xdr:rowOff>167760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2480" cy="14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1484280</xdr:colOff>
      <xdr:row>22</xdr:row>
      <xdr:rowOff>163800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2480" cy="14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245880</xdr:colOff>
      <xdr:row>38</xdr:row>
      <xdr:rowOff>163800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2480" cy="14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243000</xdr:colOff>
      <xdr:row>6</xdr:row>
      <xdr:rowOff>169200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243000</xdr:colOff>
      <xdr:row>23</xdr:row>
      <xdr:rowOff>169200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1481400</xdr:colOff>
      <xdr:row>39</xdr:row>
      <xdr:rowOff>169920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1481400</xdr:colOff>
      <xdr:row>7</xdr:row>
      <xdr:rowOff>169200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247680</xdr:colOff>
      <xdr:row>22</xdr:row>
      <xdr:rowOff>169920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243000</xdr:colOff>
      <xdr:row>39</xdr:row>
      <xdr:rowOff>169920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238320</xdr:colOff>
      <xdr:row>7</xdr:row>
      <xdr:rowOff>178200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1481400</xdr:colOff>
      <xdr:row>23</xdr:row>
      <xdr:rowOff>182880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1481400</xdr:colOff>
      <xdr:row>38</xdr:row>
      <xdr:rowOff>174600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1481400</xdr:colOff>
      <xdr:row>8</xdr:row>
      <xdr:rowOff>169920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1481400</xdr:colOff>
      <xdr:row>24</xdr:row>
      <xdr:rowOff>169200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243000</xdr:colOff>
      <xdr:row>40</xdr:row>
      <xdr:rowOff>169920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238320</xdr:colOff>
      <xdr:row>8</xdr:row>
      <xdr:rowOff>169920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243000</xdr:colOff>
      <xdr:row>25</xdr:row>
      <xdr:rowOff>173880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1476720</xdr:colOff>
      <xdr:row>41</xdr:row>
      <xdr:rowOff>169200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238320</xdr:colOff>
      <xdr:row>41</xdr:row>
      <xdr:rowOff>173880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243000</xdr:colOff>
      <xdr:row>24</xdr:row>
      <xdr:rowOff>169200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1481400</xdr:colOff>
      <xdr:row>9</xdr:row>
      <xdr:rowOff>165240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238320</xdr:colOff>
      <xdr:row>9</xdr:row>
      <xdr:rowOff>169920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1481400</xdr:colOff>
      <xdr:row>25</xdr:row>
      <xdr:rowOff>164520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1481400</xdr:colOff>
      <xdr:row>40</xdr:row>
      <xdr:rowOff>165240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1481400</xdr:colOff>
      <xdr:row>10</xdr:row>
      <xdr:rowOff>169920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1481400</xdr:colOff>
      <xdr:row>26</xdr:row>
      <xdr:rowOff>169920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238320</xdr:colOff>
      <xdr:row>42</xdr:row>
      <xdr:rowOff>169200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238320</xdr:colOff>
      <xdr:row>10</xdr:row>
      <xdr:rowOff>169920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238320</xdr:colOff>
      <xdr:row>27</xdr:row>
      <xdr:rowOff>165240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1476720</xdr:colOff>
      <xdr:row>43</xdr:row>
      <xdr:rowOff>164520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1481400</xdr:colOff>
      <xdr:row>11</xdr:row>
      <xdr:rowOff>169200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243000</xdr:colOff>
      <xdr:row>26</xdr:row>
      <xdr:rowOff>169920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238320</xdr:colOff>
      <xdr:row>43</xdr:row>
      <xdr:rowOff>164520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238320</xdr:colOff>
      <xdr:row>11</xdr:row>
      <xdr:rowOff>164520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1481400</xdr:colOff>
      <xdr:row>27</xdr:row>
      <xdr:rowOff>165240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1476720</xdr:colOff>
      <xdr:row>42</xdr:row>
      <xdr:rowOff>164520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1481400</xdr:colOff>
      <xdr:row>12</xdr:row>
      <xdr:rowOff>164520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1481400</xdr:colOff>
      <xdr:row>28</xdr:row>
      <xdr:rowOff>169920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243000</xdr:colOff>
      <xdr:row>44</xdr:row>
      <xdr:rowOff>165240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243000</xdr:colOff>
      <xdr:row>12</xdr:row>
      <xdr:rowOff>169200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1476720</xdr:colOff>
      <xdr:row>45</xdr:row>
      <xdr:rowOff>169920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238320</xdr:colOff>
      <xdr:row>29</xdr:row>
      <xdr:rowOff>169200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1481400</xdr:colOff>
      <xdr:row>13</xdr:row>
      <xdr:rowOff>169200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237600</xdr:colOff>
      <xdr:row>28</xdr:row>
      <xdr:rowOff>164520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241920</xdr:colOff>
      <xdr:row>45</xdr:row>
      <xdr:rowOff>164520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237600</xdr:colOff>
      <xdr:row>13</xdr:row>
      <xdr:rowOff>168120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1480320</xdr:colOff>
      <xdr:row>29</xdr:row>
      <xdr:rowOff>168120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1476000</xdr:colOff>
      <xdr:row>44</xdr:row>
      <xdr:rowOff>164520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1477800</xdr:colOff>
      <xdr:row>14</xdr:row>
      <xdr:rowOff>171000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1482480</xdr:colOff>
      <xdr:row>30</xdr:row>
      <xdr:rowOff>165600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239400</xdr:colOff>
      <xdr:row>46</xdr:row>
      <xdr:rowOff>166320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194760</xdr:colOff>
      <xdr:row>14</xdr:row>
      <xdr:rowOff>166320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652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190080</xdr:colOff>
      <xdr:row>31</xdr:row>
      <xdr:rowOff>165600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652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1437840</xdr:colOff>
      <xdr:row>47</xdr:row>
      <xdr:rowOff>165600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652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1477800</xdr:colOff>
      <xdr:row>15</xdr:row>
      <xdr:rowOff>166320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239400</xdr:colOff>
      <xdr:row>30</xdr:row>
      <xdr:rowOff>165600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239400</xdr:colOff>
      <xdr:row>47</xdr:row>
      <xdr:rowOff>165600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239400</xdr:colOff>
      <xdr:row>15</xdr:row>
      <xdr:rowOff>166320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1482480</xdr:colOff>
      <xdr:row>31</xdr:row>
      <xdr:rowOff>165600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1477800</xdr:colOff>
      <xdr:row>46</xdr:row>
      <xdr:rowOff>166320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1477800</xdr:colOff>
      <xdr:row>16</xdr:row>
      <xdr:rowOff>166320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1477800</xdr:colOff>
      <xdr:row>32</xdr:row>
      <xdr:rowOff>166320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239400</xdr:colOff>
      <xdr:row>48</xdr:row>
      <xdr:rowOff>165600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239400</xdr:colOff>
      <xdr:row>16</xdr:row>
      <xdr:rowOff>171000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239400</xdr:colOff>
      <xdr:row>33</xdr:row>
      <xdr:rowOff>166320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1482480</xdr:colOff>
      <xdr:row>49</xdr:row>
      <xdr:rowOff>165600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1477800</xdr:colOff>
      <xdr:row>17</xdr:row>
      <xdr:rowOff>165600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239400</xdr:colOff>
      <xdr:row>32</xdr:row>
      <xdr:rowOff>166320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239400</xdr:colOff>
      <xdr:row>49</xdr:row>
      <xdr:rowOff>165600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239400</xdr:colOff>
      <xdr:row>17</xdr:row>
      <xdr:rowOff>165600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1477800</xdr:colOff>
      <xdr:row>33</xdr:row>
      <xdr:rowOff>166320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1477800</xdr:colOff>
      <xdr:row>48</xdr:row>
      <xdr:rowOff>165600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1460520</xdr:colOff>
      <xdr:row>18</xdr:row>
      <xdr:rowOff>165600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388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1460520</xdr:colOff>
      <xdr:row>34</xdr:row>
      <xdr:rowOff>166320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388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212760</xdr:colOff>
      <xdr:row>50</xdr:row>
      <xdr:rowOff>166320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388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239400</xdr:colOff>
      <xdr:row>18</xdr:row>
      <xdr:rowOff>165600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244080</xdr:colOff>
      <xdr:row>35</xdr:row>
      <xdr:rowOff>165600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1477800</xdr:colOff>
      <xdr:row>51</xdr:row>
      <xdr:rowOff>166320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1477800</xdr:colOff>
      <xdr:row>19</xdr:row>
      <xdr:rowOff>165600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239400</xdr:colOff>
      <xdr:row>34</xdr:row>
      <xdr:rowOff>166320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239400</xdr:colOff>
      <xdr:row>51</xdr:row>
      <xdr:rowOff>166320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1477800</xdr:colOff>
      <xdr:row>20</xdr:row>
      <xdr:rowOff>166320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1482480</xdr:colOff>
      <xdr:row>36</xdr:row>
      <xdr:rowOff>165600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239400</xdr:colOff>
      <xdr:row>52</xdr:row>
      <xdr:rowOff>166320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244080</xdr:colOff>
      <xdr:row>20</xdr:row>
      <xdr:rowOff>171000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244080</xdr:colOff>
      <xdr:row>37</xdr:row>
      <xdr:rowOff>165600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1477800</xdr:colOff>
      <xdr:row>53</xdr:row>
      <xdr:rowOff>165600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1482480</xdr:colOff>
      <xdr:row>21</xdr:row>
      <xdr:rowOff>171000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244080</xdr:colOff>
      <xdr:row>36</xdr:row>
      <xdr:rowOff>170280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239400</xdr:colOff>
      <xdr:row>53</xdr:row>
      <xdr:rowOff>165600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239400</xdr:colOff>
      <xdr:row>21</xdr:row>
      <xdr:rowOff>166320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1482480</xdr:colOff>
      <xdr:row>37</xdr:row>
      <xdr:rowOff>165600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1482480</xdr:colOff>
      <xdr:row>52</xdr:row>
      <xdr:rowOff>166320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244080</xdr:colOff>
      <xdr:row>19</xdr:row>
      <xdr:rowOff>170280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1482480</xdr:colOff>
      <xdr:row>35</xdr:row>
      <xdr:rowOff>165600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1960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1477800</xdr:colOff>
      <xdr:row>50</xdr:row>
      <xdr:rowOff>166320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19600" cy="146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AY28" colorId="64" zoomScale="100" zoomScaleNormal="100" zoomScalePageLayoutView="100" workbookViewId="0">
      <selection pane="topLeft" activeCell="BG42" activeCellId="0" sqref="BG42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 t="n">
        <v>2</v>
      </c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 t="n">
        <v>1</v>
      </c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Uruguay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Francia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Francia</v>
      </c>
      <c r="BA14" s="80" t="n">
        <v>4</v>
      </c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Argentina</v>
      </c>
      <c r="BA15" s="83" t="n">
        <v>3</v>
      </c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Brasil</v>
      </c>
      <c r="BA18" s="80" t="n">
        <v>2</v>
      </c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México</v>
      </c>
      <c r="BA19" s="83" t="n">
        <v>0</v>
      </c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70203</v>
      </c>
      <c r="AI20" s="40" t="n">
        <f aca="false">AF20-AG20</f>
        <v>2</v>
      </c>
      <c r="AJ20" s="40" t="n">
        <f aca="false">(AI20-AI25)/AI24</f>
        <v>0.833333333333333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1098.33392483333</v>
      </c>
      <c r="AO20" s="43" t="str">
        <f aca="false">IF(SUM(AC20:AE23)=12,J21,INDEX(T,74,lang))</f>
        <v>Francia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Brasil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3</v>
      </c>
      <c r="L21" s="72" t="n">
        <f aca="false">VLOOKUP(1,AA20:AK23,3,0)</f>
        <v>2</v>
      </c>
      <c r="M21" s="72" t="n">
        <f aca="false">VLOOKUP(1,AA20:AK23,4,0)</f>
        <v>1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7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4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2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5</v>
      </c>
      <c r="AH21" s="40" t="n">
        <f aca="false">(AF21-AG21)*100+AK21*10000+AF21</f>
        <v>9702</v>
      </c>
      <c r="AI21" s="40" t="n">
        <f aca="false">AF21-AG21</f>
        <v>-3</v>
      </c>
      <c r="AJ21" s="40" t="n">
        <f aca="false">(AI21-AI25)/AI24</f>
        <v>0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152.857516357143</v>
      </c>
      <c r="AO21" s="43" t="str">
        <f aca="false">IF(SUM(AC20:AE23)=12,J22,INDEX(T,75,lang))</f>
        <v>Dinamarca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Bélgica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3</v>
      </c>
      <c r="L22" s="76" t="n">
        <f aca="false">VLOOKUP(2,AA20:AK23,3,0)</f>
        <v>1</v>
      </c>
      <c r="M22" s="76" t="n">
        <f aca="false">VLOOKUP(2,AA20:AK23,4,0)</f>
        <v>2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5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3</v>
      </c>
      <c r="AB22" s="42" t="str">
        <f aca="false">VLOOKUP("Peru",T,lang,0)</f>
        <v>Perú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2</v>
      </c>
      <c r="AG22" s="40" t="n">
        <f aca="false">SUMIF($E$7:$E$54,$AB22,$G$7:$G$54) + SUMIF($H$7:$H$54,$AB22,$F$7:$F$54)</f>
        <v>2</v>
      </c>
      <c r="AH22" s="40" t="n">
        <f aca="false">(AF22-AG22)*100+AK22*10000+AF22</f>
        <v>30002</v>
      </c>
      <c r="AI22" s="40" t="n">
        <f aca="false">AF22-AG22</f>
        <v>0</v>
      </c>
      <c r="AJ22" s="40" t="n">
        <f aca="false">(AI22-AI25)/AI24</f>
        <v>0.5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488.571992571429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Bélgica</v>
      </c>
      <c r="BA22" s="80" t="n">
        <v>3</v>
      </c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Perú</v>
      </c>
      <c r="K23" s="76" t="n">
        <f aca="false">L23+M23+N23</f>
        <v>3</v>
      </c>
      <c r="L23" s="76" t="n">
        <f aca="false">VLOOKUP(3,AA20:AK23,3,0)</f>
        <v>1</v>
      </c>
      <c r="M23" s="76" t="n">
        <f aca="false">VLOOKUP(3,AA20:AK23,4,0)</f>
        <v>0</v>
      </c>
      <c r="N23" s="76" t="n">
        <f aca="false">VLOOKUP(3,AA20:AK23,5,0)</f>
        <v>2</v>
      </c>
      <c r="O23" s="76" t="str">
        <f aca="false">VLOOKUP(3,AA20:AK23,6,0) &amp; " - " &amp; VLOOKUP(3,AA20:AK23,7,0)</f>
        <v>2 - 2</v>
      </c>
      <c r="P23" s="77" t="n">
        <f aca="false">L23*3+M23</f>
        <v>3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2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50102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5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790.952930452381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Japón</v>
      </c>
      <c r="BA23" s="83" t="n">
        <v>2</v>
      </c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Australia</v>
      </c>
      <c r="K24" s="88" t="n">
        <f aca="false">L24+M24+N24</f>
        <v>3</v>
      </c>
      <c r="L24" s="88" t="n">
        <f aca="false">VLOOKUP(4,AA20:AK23,3,0)</f>
        <v>0</v>
      </c>
      <c r="M24" s="88" t="n">
        <f aca="false">VLOOKUP(4,AA20:AK23,4,0)</f>
        <v>1</v>
      </c>
      <c r="N24" s="88" t="n">
        <f aca="false">VLOOKUP(4,AA20:AK23,5,0)</f>
        <v>2</v>
      </c>
      <c r="O24" s="88" t="str">
        <f aca="false">VLOOKUP(4,AA20:AK23,6,0) &amp; " - " &amp; VLOOKUP(4,AA20:AK23,7,0)</f>
        <v>2 - 5</v>
      </c>
      <c r="P24" s="89" t="n">
        <f aca="false">L24*3+M24</f>
        <v>1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3</v>
      </c>
      <c r="AE24" s="40" t="n">
        <f aca="false">MAX(AE20:AE23)-MIN(AE20:AE23)+1</f>
        <v>3</v>
      </c>
      <c r="AF24" s="40" t="n">
        <f aca="false">MAX(AF20:AF23)-MIN(AF20:AF23)+1</f>
        <v>2</v>
      </c>
      <c r="AG24" s="40" t="n">
        <f aca="false">MAX(AG20:AG23)-MIN(AG20:AG23)+1</f>
        <v>5</v>
      </c>
      <c r="AH24" s="40" t="n">
        <f aca="false">MAX(AH20:AH23)-AH25+1</f>
        <v>60502</v>
      </c>
      <c r="AI24" s="40" t="n">
        <f aca="false">MAX(AI20:AI23)-AI25+1</f>
        <v>6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9702</v>
      </c>
      <c r="AI25" s="40" t="n">
        <f aca="false">MIN(AI20:AI23)</f>
        <v>-3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1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3</v>
      </c>
      <c r="AG26" s="40" t="n">
        <f aca="false">SUMIF($E$7:$E$54,$AB26,$G$7:$G$54) + SUMIF($H$7:$H$54,$AB26,$F$7:$F$54)</f>
        <v>5</v>
      </c>
      <c r="AH26" s="40" t="n">
        <f aca="false">(AF26-AG26)*100+AK26*10000+AF26</f>
        <v>39803</v>
      </c>
      <c r="AI26" s="40" t="n">
        <f aca="false">AF26-AG26</f>
        <v>-2</v>
      </c>
      <c r="AJ26" s="40" t="n">
        <f aca="false">(AI26-AI31)/AI30</f>
        <v>0</v>
      </c>
      <c r="AK26" s="40" t="n">
        <f aca="false">AC26*3+AD26</f>
        <v>4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672.667340666667</v>
      </c>
      <c r="AO26" s="43" t="str">
        <f aca="false">IF(SUM(AC26:AE29)=12,J27,INDEX(T,76,lang))</f>
        <v>Croacia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 t="n">
        <v>1</v>
      </c>
      <c r="BB26" s="81" t="n">
        <v>3</v>
      </c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3</v>
      </c>
      <c r="L27" s="72" t="n">
        <f aca="false">VLOOKUP(1,AA26:AK29,3,0)</f>
        <v>2</v>
      </c>
      <c r="M27" s="72" t="n">
        <f aca="false">VLOOKUP(1,AA26:AK29,4,0)</f>
        <v>1</v>
      </c>
      <c r="N27" s="72" t="n">
        <f aca="false">VLOOKUP(1,AA26:AK29,5,0)</f>
        <v>0</v>
      </c>
      <c r="O27" s="72" t="str">
        <f aca="false">VLOOKUP(1,AA26:AK29,6,0) &amp; " - " &amp; VLOOKUP(1,AA26:AK29,7,0)</f>
        <v>6 - 1</v>
      </c>
      <c r="P27" s="73" t="n">
        <f aca="false">L27*3+M27</f>
        <v>7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2</v>
      </c>
      <c r="AG27" s="40" t="n">
        <f aca="false">SUMIF($E$7:$E$54,$AB27,$G$7:$G$54) + SUMIF($H$7:$H$54,$AB27,$F$7:$F$54)</f>
        <v>4</v>
      </c>
      <c r="AH27" s="40" t="n">
        <f aca="false">(AF27-AG27)*100+AK27*10000+AF27</f>
        <v>19802</v>
      </c>
      <c r="AI27" s="40" t="n">
        <f aca="false">AF27-AG27</f>
        <v>-2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337.333788333333</v>
      </c>
      <c r="AO27" s="43" t="str">
        <f aca="false">IF(SUM(AC26:AE29)=12,J28,INDEX(T,77,lang))</f>
        <v>Argentina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 t="n">
        <v>1</v>
      </c>
      <c r="BB27" s="84" t="n">
        <v>4</v>
      </c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3</v>
      </c>
      <c r="L28" s="76" t="n">
        <f aca="false">VLOOKUP(2,AA26:AK29,3,0)</f>
        <v>1</v>
      </c>
      <c r="M28" s="76" t="n">
        <f aca="false">VLOOKUP(2,AA26:AK29,4,0)</f>
        <v>1</v>
      </c>
      <c r="N28" s="76" t="n">
        <f aca="false">VLOOKUP(2,AA26:AK29,5,0)</f>
        <v>1</v>
      </c>
      <c r="O28" s="76" t="str">
        <f aca="false">VLOOKUP(2,AA26:AK29,6,0) &amp; " - " &amp; VLOOKUP(2,AA26:AK29,7,0)</f>
        <v>3 - 5</v>
      </c>
      <c r="P28" s="77" t="n">
        <f aca="false">L28*3+M28</f>
        <v>4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1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1</v>
      </c>
      <c r="AH28" s="40" t="n">
        <f aca="false">(AF28-AG28)*100+AK28*10000+AF28</f>
        <v>70506</v>
      </c>
      <c r="AI28" s="40" t="n">
        <f aca="false">AF28-AG28</f>
        <v>5</v>
      </c>
      <c r="AJ28" s="40" t="n">
        <f aca="false">(AI28-AI31)/AI30</f>
        <v>0.875</v>
      </c>
      <c r="AK28" s="40" t="n">
        <f aca="false">AC28*3+AD28</f>
        <v>7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1266.16717566667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Rusia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Nigeria</v>
      </c>
      <c r="K29" s="76" t="n">
        <f aca="false">L29+M29+N29</f>
        <v>3</v>
      </c>
      <c r="L29" s="76" t="n">
        <f aca="false">VLOOKUP(3,AA26:AK29,3,0)</f>
        <v>1</v>
      </c>
      <c r="M29" s="76" t="n">
        <f aca="false">VLOOKUP(3,AA26:AK29,4,0)</f>
        <v>0</v>
      </c>
      <c r="N29" s="76" t="n">
        <f aca="false">VLOOKUP(3,AA26:AK29,5,0)</f>
        <v>2</v>
      </c>
      <c r="O29" s="76" t="str">
        <f aca="false">VLOOKUP(3,AA26:AK29,6,0) &amp; " - " &amp; VLOOKUP(3,AA26:AK29,7,0)</f>
        <v>3 - 4</v>
      </c>
      <c r="P29" s="77" t="n">
        <f aca="false">L29*3+M29</f>
        <v>3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3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3</v>
      </c>
      <c r="AG29" s="40" t="n">
        <f aca="false">SUMIF($E$7:$E$54,$AB29,$G$7:$G$54) + SUMIF($H$7:$H$54,$AB29,$F$7:$F$54)</f>
        <v>4</v>
      </c>
      <c r="AH29" s="40" t="n">
        <f aca="false">(AF29-AG29)*100+AK29*10000+AF29</f>
        <v>29903</v>
      </c>
      <c r="AI29" s="40" t="n">
        <f aca="false">AF29-AG29</f>
        <v>-1</v>
      </c>
      <c r="AJ29" s="40" t="n">
        <f aca="false">(AI29-AI31)/AI30</f>
        <v>0.125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518.50032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Croacia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Islandia</v>
      </c>
      <c r="K30" s="88" t="n">
        <f aca="false">L30+M30+N30</f>
        <v>3</v>
      </c>
      <c r="L30" s="88" t="n">
        <f aca="false">VLOOKUP(4,AA26:AK29,3,0)</f>
        <v>0</v>
      </c>
      <c r="M30" s="88" t="n">
        <f aca="false">VLOOKUP(4,AA26:AK29,4,0)</f>
        <v>2</v>
      </c>
      <c r="N30" s="88" t="n">
        <f aca="false">VLOOKUP(4,AA26:AK29,5,0)</f>
        <v>1</v>
      </c>
      <c r="O30" s="88" t="str">
        <f aca="false">VLOOKUP(4,AA26:AK29,6,0) &amp; " - " &amp; VLOOKUP(4,AA26:AK29,7,0)</f>
        <v>2 - 4</v>
      </c>
      <c r="P30" s="89" t="n">
        <f aca="false">L30*3+M30</f>
        <v>2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50705</v>
      </c>
      <c r="AI30" s="40" t="n">
        <f aca="false">MAX(AI26:AI29)-AI31+1</f>
        <v>8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Croacia</v>
      </c>
      <c r="BA30" s="80" t="n">
        <v>1</v>
      </c>
      <c r="BB30" s="81" t="n">
        <v>4</v>
      </c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19802</v>
      </c>
      <c r="AI31" s="40" t="n">
        <f aca="false">MIN(AI26:AI29)</f>
        <v>-2</v>
      </c>
      <c r="AY31" s="78"/>
      <c r="AZ31" s="82" t="str">
        <f aca="false">AO21</f>
        <v>Dinamarca</v>
      </c>
      <c r="BA31" s="83" t="n">
        <v>1</v>
      </c>
      <c r="BB31" s="84" t="n">
        <v>3</v>
      </c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2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5</v>
      </c>
      <c r="AG32" s="40" t="n">
        <f aca="false">SUMIF($E$7:$E$54,$AB32,$G$7:$G$54) + SUMIF($H$7:$H$54,$AB32,$F$7:$F$54)</f>
        <v>1</v>
      </c>
      <c r="AH32" s="40" t="n">
        <f aca="false">(AF32-AG32)*100+AK32*10000+AF32</f>
        <v>70405</v>
      </c>
      <c r="AI32" s="40" t="n">
        <f aca="false">AF32-AG32</f>
        <v>4</v>
      </c>
      <c r="AJ32" s="40" t="n">
        <f aca="false">(AI32-AI37)/AI36</f>
        <v>0.875</v>
      </c>
      <c r="AK32" s="40" t="n">
        <f aca="false">AC32*3+AD32</f>
        <v>7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1097.5007415</v>
      </c>
      <c r="AO32" s="43" t="str">
        <f aca="false">IF(SUM(AC32:AE35)=12,J33,INDEX(T,78,lang))</f>
        <v>Brasil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3</v>
      </c>
      <c r="L33" s="72" t="n">
        <f aca="false">VLOOKUP(1,AA32:AK35,3,0)</f>
        <v>2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5 - 1</v>
      </c>
      <c r="P33" s="73" t="n">
        <f aca="false">L33*3+M33</f>
        <v>7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2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4</v>
      </c>
      <c r="AG33" s="40" t="n">
        <f aca="false">SUMIF($E$7:$E$54,$AB33,$G$7:$G$54) + SUMIF($H$7:$H$54,$AB33,$F$7:$F$54)</f>
        <v>3</v>
      </c>
      <c r="AH33" s="40" t="n">
        <f aca="false">(AF33-AG33)*100+AK33*10000+AF33</f>
        <v>50104</v>
      </c>
      <c r="AI33" s="40" t="n">
        <f aca="false">AF33-AG33</f>
        <v>1</v>
      </c>
      <c r="AJ33" s="40" t="n">
        <f aca="false">(AI33-AI37)/AI36</f>
        <v>0.5</v>
      </c>
      <c r="AK33" s="40" t="n">
        <f aca="false">AC33*3+AD33</f>
        <v>5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772.286309285714</v>
      </c>
      <c r="AO33" s="43" t="str">
        <f aca="false">IF(SUM(AC32:AE35)=12,J34,INDEX(T,79,lang))</f>
        <v>Suiza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3</v>
      </c>
      <c r="L34" s="76" t="n">
        <f aca="false">VLOOKUP(2,AA32:AK35,3,0)</f>
        <v>1</v>
      </c>
      <c r="M34" s="76" t="n">
        <f aca="false">VLOOKUP(2,AA32:AK35,4,0)</f>
        <v>2</v>
      </c>
      <c r="N34" s="76" t="n">
        <f aca="false">VLOOKUP(2,AA32:AK35,5,0)</f>
        <v>0</v>
      </c>
      <c r="O34" s="76" t="str">
        <f aca="false">VLOOKUP(2,AA32:AK35,6,0) &amp; " - " &amp; VLOOKUP(2,AA32:AK35,7,0)</f>
        <v>4 - 3</v>
      </c>
      <c r="P34" s="77" t="n">
        <f aca="false">L34*3+M34</f>
        <v>5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1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1</v>
      </c>
      <c r="AG34" s="40" t="n">
        <f aca="false">SUMIF($E$7:$E$54,$AB34,$G$7:$G$54) + SUMIF($H$7:$H$54,$AB34,$F$7:$F$54)</f>
        <v>4</v>
      </c>
      <c r="AH34" s="40" t="n">
        <f aca="false">(AF34-AG34)*100+AK34*10000+AF34</f>
        <v>9701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1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144.857567857143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Suecia</v>
      </c>
      <c r="BA34" s="80" t="n">
        <v>1</v>
      </c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3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2</v>
      </c>
      <c r="O35" s="76" t="str">
        <f aca="false">VLOOKUP(3,AA32:AK35,6,0) &amp; " - " &amp; VLOOKUP(3,AA32:AK35,7,0)</f>
        <v>2 - 4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4</v>
      </c>
      <c r="AH35" s="40" t="n">
        <f aca="false">(AF35-AG35)*100+AK35*10000+AF35</f>
        <v>29802</v>
      </c>
      <c r="AI35" s="40" t="n">
        <f aca="false">AF35-AG35</f>
        <v>-2</v>
      </c>
      <c r="AJ35" s="40" t="n">
        <f aca="false">(AI35-AI37)/AI36</f>
        <v>0.125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445.071806571429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Suiza</v>
      </c>
      <c r="BA35" s="83" t="n">
        <v>0</v>
      </c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3</v>
      </c>
      <c r="L36" s="88" t="n">
        <f aca="false">VLOOKUP(4,AA32:AK35,3,0)</f>
        <v>0</v>
      </c>
      <c r="M36" s="88" t="n">
        <f aca="false">VLOOKUP(4,AA32:AK35,4,0)</f>
        <v>1</v>
      </c>
      <c r="N36" s="88" t="n">
        <f aca="false">VLOOKUP(4,AA32:AK35,5,0)</f>
        <v>2</v>
      </c>
      <c r="O36" s="88" t="str">
        <f aca="false">VLOOKUP(4,AA32:AK35,6,0) &amp; " - " &amp; VLOOKUP(4,AA32:AK35,7,0)</f>
        <v>1 - 4</v>
      </c>
      <c r="P36" s="89" t="n">
        <f aca="false">L36*3+M36</f>
        <v>1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3</v>
      </c>
      <c r="AD36" s="40" t="n">
        <f aca="false">MAX(AD32:AD35)-MIN(AD32:AD35)+1</f>
        <v>3</v>
      </c>
      <c r="AE36" s="40" t="n">
        <f aca="false">MAX(AE32:AE35)-MIN(AE32:AE35)+1</f>
        <v>3</v>
      </c>
      <c r="AF36" s="40" t="n">
        <f aca="false">MAX(AF32:AF35)-MIN(AF32:AF35)+1</f>
        <v>5</v>
      </c>
      <c r="AG36" s="40" t="n">
        <f aca="false">MAX(AG32:AG35)-MIN(AG32:AG35)+1</f>
        <v>4</v>
      </c>
      <c r="AH36" s="40" t="n">
        <f aca="false">MAX(AH32:AH35)-AH37+1</f>
        <v>60705</v>
      </c>
      <c r="AI36" s="40" t="n">
        <f aca="false">MAX(AI32:AI35)-AI37+1</f>
        <v>8</v>
      </c>
      <c r="AK36" s="40" t="n">
        <f aca="false">MAX(AK32:AK35)-MIN(AK32:AK35)+1</f>
        <v>7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Suecia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9701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Inglaterra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4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2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4</v>
      </c>
      <c r="AH38" s="40" t="n">
        <f aca="false">(AF38-AG38)*100+AK38*10000+AF38</f>
        <v>29802</v>
      </c>
      <c r="AI38" s="40" t="n">
        <f aca="false">AF38-AG38</f>
        <v>-2</v>
      </c>
      <c r="AJ38" s="40" t="n">
        <f aca="false">(AI38-AI43)/AI42</f>
        <v>0</v>
      </c>
      <c r="AK38" s="40" t="n">
        <f aca="false">AC38*3+AD38</f>
        <v>3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755.000801</v>
      </c>
      <c r="AO38" s="43" t="str">
        <f aca="false">IF(SUM(AC38:AE41)=12,J39,INDEX(T,80,lang))</f>
        <v>Suecia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Colombia</v>
      </c>
      <c r="BA38" s="80" t="n">
        <v>1</v>
      </c>
      <c r="BB38" s="81" t="n">
        <v>3</v>
      </c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Suecia</v>
      </c>
      <c r="K39" s="72" t="n">
        <f aca="false">L39+M39+N39</f>
        <v>3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1</v>
      </c>
      <c r="O39" s="72" t="str">
        <f aca="false">VLOOKUP(1,AA38:AK41,6,0) &amp; " - " &amp; VLOOKUP(1,AA38:AK41,7,0)</f>
        <v>5 - 2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2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1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4</v>
      </c>
      <c r="AH39" s="40" t="n">
        <f aca="false">(AF39-AG39)*100+AK39*10000+AF39</f>
        <v>59903</v>
      </c>
      <c r="AI39" s="40" t="n">
        <f aca="false">AF39-AG39</f>
        <v>-1</v>
      </c>
      <c r="AJ39" s="40" t="n">
        <f aca="false">(AI39-AI43)/AI42</f>
        <v>0.166666666666667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1524.16718266667</v>
      </c>
      <c r="AO39" s="43" t="str">
        <f aca="false">IF(SUM(AC38:AE41)=12,J40,INDEX(T,81,lang))</f>
        <v>México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Inglaterra</v>
      </c>
      <c r="BA39" s="83" t="n">
        <v>1</v>
      </c>
      <c r="BB39" s="84" t="n">
        <v>4</v>
      </c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México</v>
      </c>
      <c r="K40" s="76" t="n">
        <f aca="false">L40+M40+N40</f>
        <v>3</v>
      </c>
      <c r="L40" s="76" t="n">
        <f aca="false">VLOOKUP(2,AA38:AK41,3,0)</f>
        <v>2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3 - 4</v>
      </c>
      <c r="P40" s="77" t="n">
        <f aca="false">L40*3+M40</f>
        <v>6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1</v>
      </c>
      <c r="AB40" s="42" t="str">
        <f aca="false">VLOOKUP("Sweden",T,lang,0)</f>
        <v>Suecia</v>
      </c>
      <c r="AC40" s="40" t="n">
        <f aca="false">COUNTIF($S$7:$T$54,"=" &amp; AB40 &amp; "_win")</f>
        <v>2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5</v>
      </c>
      <c r="AG40" s="40" t="n">
        <f aca="false">SUMIF($E$7:$E$54,$AB40,$G$7:$G$54) + SUMIF($H$7:$H$54,$AB40,$F$7:$F$54)</f>
        <v>2</v>
      </c>
      <c r="AH40" s="40" t="n">
        <f aca="false">(AF40-AG40)*100+AK40*10000+AF40</f>
        <v>60305</v>
      </c>
      <c r="AI40" s="40" t="n">
        <f aca="false">AF40-AG40</f>
        <v>3</v>
      </c>
      <c r="AJ40" s="40" t="n">
        <f aca="false">(AI40-AI43)/AI42</f>
        <v>0.833333333333333</v>
      </c>
      <c r="AK40" s="40" t="n">
        <f aca="false">AC40*3+AD40</f>
        <v>6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1595.83383233333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República de Corea</v>
      </c>
      <c r="K41" s="76" t="n">
        <f aca="false">L41+M41+N41</f>
        <v>3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2</v>
      </c>
      <c r="O41" s="76" t="str">
        <f aca="false">VLOOKUP(3,AA38:AK41,6,0) &amp; " - " &amp; VLOOKUP(3,AA38:AK41,7,0)</f>
        <v>3 - 3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3</v>
      </c>
      <c r="AB41" s="42" t="str">
        <f aca="false">VLOOKUP("Korea Republic",T,lang,0)</f>
        <v>República de Corea</v>
      </c>
      <c r="AC41" s="40" t="n">
        <f aca="false">COUNTIF($S$7:$T$54,"=" &amp; AB41 &amp; "_win")</f>
        <v>1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3</v>
      </c>
      <c r="AG41" s="40" t="n">
        <f aca="false">SUMIF($E$7:$E$54,$AB41,$G$7:$G$54) + SUMIF($H$7:$H$54,$AB41,$F$7:$F$54)</f>
        <v>3</v>
      </c>
      <c r="AH41" s="40" t="n">
        <f aca="false">(AF41-AG41)*100+AK41*10000+AF41</f>
        <v>30003</v>
      </c>
      <c r="AI41" s="40" t="n">
        <f aca="false">AF41-AG41</f>
        <v>0</v>
      </c>
      <c r="AJ41" s="40" t="n">
        <f aca="false">(AI41-AI43)/AI42</f>
        <v>0.333333333333333</v>
      </c>
      <c r="AK41" s="40" t="n">
        <f aca="false">AC41*3+AD41</f>
        <v>3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790.833618333333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Alemania</v>
      </c>
      <c r="K42" s="88" t="n">
        <f aca="false">L42+M42+N42</f>
        <v>3</v>
      </c>
      <c r="L42" s="88" t="n">
        <f aca="false">VLOOKUP(4,AA38:AK41,3,0)</f>
        <v>1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2 - 4</v>
      </c>
      <c r="P42" s="89" t="n">
        <f aca="false">L42*3+M42</f>
        <v>3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4</v>
      </c>
      <c r="AG42" s="40" t="n">
        <f aca="false">MAX(AG38:AG41)-MIN(AG38:AG41)+1</f>
        <v>3</v>
      </c>
      <c r="AH42" s="40" t="n">
        <f aca="false">MAX(AH38:AH41)-AH43+1</f>
        <v>30504</v>
      </c>
      <c r="AI42" s="40" t="n">
        <f aca="false">MAX(AI38:AI41)-AI43+1</f>
        <v>6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 t="n">
        <v>0</v>
      </c>
      <c r="G43" s="65" t="n">
        <v>0</v>
      </c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>Dinamarca_draw</v>
      </c>
      <c r="T43" s="41" t="str">
        <f aca="false">IF(S43="","",IF(F43&lt;G43,H43&amp;"_win",IF(F43&gt;G43,H43&amp;"_lose",H43&amp;"_draw")))</f>
        <v>Francia_draw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29802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 t="n">
        <v>0</v>
      </c>
      <c r="G44" s="65" t="n">
        <v>2</v>
      </c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>Australia_lose</v>
      </c>
      <c r="T44" s="41" t="str">
        <f aca="false">IF(S44="","",IF(F44&lt;G44,H44&amp;"_win",IF(F44&gt;G44,H44&amp;"_lose",H44&amp;"_draw")))</f>
        <v>Perú_win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9</v>
      </c>
      <c r="AG44" s="40" t="n">
        <f aca="false">SUMIF($E$7:$E$54,$AB44,$G$7:$G$54) + SUMIF($H$7:$H$54,$AB44,$F$7:$F$54)</f>
        <v>2</v>
      </c>
      <c r="AH44" s="40" t="n">
        <f aca="false">(AF44-AG44)*100+AK44*10000+AF44</f>
        <v>90709</v>
      </c>
      <c r="AI44" s="40" t="n">
        <f aca="false">AF44-AG44</f>
        <v>7</v>
      </c>
      <c r="AJ44" s="40" t="n">
        <f aca="false">(AI44-AI49)/AI48</f>
        <v>0.941176470588235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1005.36830955882</v>
      </c>
      <c r="AO44" s="43" t="str">
        <f aca="false">IF(SUM(AC44:AE47)=12,J45,INDEX(T,82,lang))</f>
        <v>Bélgica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 t="n">
        <v>1</v>
      </c>
      <c r="G45" s="65" t="n">
        <v>2</v>
      </c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3</v>
      </c>
      <c r="L45" s="72" t="n">
        <f aca="false">VLOOKUP(1,AA44:AK47,3,0)</f>
        <v>3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9 - 2</v>
      </c>
      <c r="P45" s="73" t="n">
        <f aca="false">L45*3+M45</f>
        <v>9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>Nigeria_lose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3</v>
      </c>
      <c r="AF45" s="40" t="n">
        <f aca="false">SUMIF($E$7:$E$54,$AB45,$F$7:$F$54) + SUMIF($H$7:$H$54,$AB45,$G$7:$G$54)</f>
        <v>2</v>
      </c>
      <c r="AG45" s="40" t="n">
        <f aca="false">SUMIF($E$7:$E$54,$AB45,$G$7:$G$54) + SUMIF($H$7:$H$54,$AB45,$F$7:$F$54)</f>
        <v>11</v>
      </c>
      <c r="AH45" s="40" t="n">
        <f aca="false">(AF45-AG45)*100+AK45*10000+AF45</f>
        <v>-898</v>
      </c>
      <c r="AI45" s="40" t="n">
        <f aca="false">AF45-AG45</f>
        <v>-9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2.5003105</v>
      </c>
      <c r="AO45" s="43" t="str">
        <f aca="false">IF(SUM(AC44:AE47)=12,J46,INDEX(T,83,lang))</f>
        <v>Inglaterra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 t="n">
        <v>1</v>
      </c>
      <c r="G46" s="65" t="n">
        <v>1</v>
      </c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3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1</v>
      </c>
      <c r="O46" s="76" t="str">
        <f aca="false">VLOOKUP(2,AA44:AK47,6,0) &amp; " - " &amp; VLOOKUP(2,AA44:AK47,7,0)</f>
        <v>8 - 3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>Islandia_draw</v>
      </c>
      <c r="T46" s="41" t="str">
        <f aca="false">IF(S46="","",IF(F46&lt;G46,H46&amp;"_win",IF(F46&gt;G46,H46&amp;"_lose",H46&amp;"_draw")))</f>
        <v>Croacia_draw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1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5</v>
      </c>
      <c r="AG46" s="40" t="n">
        <f aca="false">SUMIF($E$7:$E$54,$AB46,$G$7:$G$54) + SUMIF($H$7:$H$54,$AB46,$F$7:$F$54)</f>
        <v>8</v>
      </c>
      <c r="AH46" s="40" t="n">
        <f aca="false">(AF46-AG46)*100+AK46*10000+AF46</f>
        <v>29705</v>
      </c>
      <c r="AI46" s="40" t="n">
        <f aca="false">AF46-AG46</f>
        <v>-3</v>
      </c>
      <c r="AJ46" s="40" t="n">
        <f aca="false">(AI46-AI49)/AI48</f>
        <v>0.352941176470588</v>
      </c>
      <c r="AK46" s="40" t="n">
        <f aca="false">AC46*3+AD46</f>
        <v>3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341.544536647059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 t="n">
        <v>0</v>
      </c>
      <c r="G47" s="65" t="n">
        <v>2</v>
      </c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3</v>
      </c>
      <c r="L47" s="76" t="n">
        <f aca="false">VLOOKUP(3,AA44:AK47,3,0)</f>
        <v>1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5 - 8</v>
      </c>
      <c r="P47" s="77" t="n">
        <f aca="false">L47*3+M47</f>
        <v>3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>Serbia_lose</v>
      </c>
      <c r="T47" s="41" t="str">
        <f aca="false">IF(S47="","",IF(F47&lt;G47,H47&amp;"_win",IF(F47&gt;G47,H47&amp;"_lose",H47&amp;"_draw")))</f>
        <v>Brasil_win</v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1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3</v>
      </c>
      <c r="AH47" s="40" t="n">
        <f aca="false">(AF47-AG47)*100+AK47*10000+AF47</f>
        <v>60508</v>
      </c>
      <c r="AI47" s="40" t="n">
        <f aca="false">AF47-AG47</f>
        <v>5</v>
      </c>
      <c r="AJ47" s="40" t="n">
        <f aca="false">(AI47-AI49)/AI48</f>
        <v>0.823529411764706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692.353464676471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 t="n">
        <v>1</v>
      </c>
      <c r="G48" s="65" t="n">
        <v>1</v>
      </c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3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3</v>
      </c>
      <c r="O48" s="88" t="str">
        <f aca="false">VLOOKUP(4,AA44:AK47,6,0) &amp; " - " &amp; VLOOKUP(4,AA44:AK47,7,0)</f>
        <v>2 - 11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>Suiza_draw</v>
      </c>
      <c r="T48" s="41" t="str">
        <f aca="false">IF(S48="","",IF(F48&lt;G48,H48&amp;"_win",IF(F48&gt;G48,H48&amp;"_lose",H48&amp;"_draw")))</f>
        <v>Costa Rica_draw</v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0</v>
      </c>
      <c r="AC48" s="40" t="n">
        <f aca="false">MAX(AC44:AC47)-MIN(AC44:AC47)+1</f>
        <v>4</v>
      </c>
      <c r="AD48" s="40" t="n">
        <f aca="false">MAX(AD44:AD47)-MIN(AD44:AD47)+1</f>
        <v>1</v>
      </c>
      <c r="AE48" s="40" t="n">
        <f aca="false">MAX(AE44:AE47)-MIN(AE44:AE47)+1</f>
        <v>4</v>
      </c>
      <c r="AF48" s="40" t="n">
        <f aca="false">MAX(AF44:AF47)-MIN(AF44:AF47)+1</f>
        <v>8</v>
      </c>
      <c r="AG48" s="40" t="n">
        <f aca="false">MAX(AG44:AG47)-MIN(AG44:AG47)+1</f>
        <v>10</v>
      </c>
      <c r="AH48" s="40" t="n">
        <f aca="false">MAX(AH44:AH47)-AH49+1</f>
        <v>91608</v>
      </c>
      <c r="AI48" s="40" t="n">
        <f aca="false">MAX(AI44:AI47)-AI49+1</f>
        <v>17</v>
      </c>
      <c r="AK48" s="40" t="n">
        <f aca="false">MAX(AK44:AK47)-MIN(AK44:AK47)+1</f>
        <v>10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 t="n">
        <v>2</v>
      </c>
      <c r="G49" s="65" t="n">
        <v>0</v>
      </c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>República de Corea_win</v>
      </c>
      <c r="T49" s="41" t="str">
        <f aca="false">IF(S49="","",IF(F49&lt;G49,H49&amp;"_win",IF(F49&gt;G49,H49&amp;"_lose",H49&amp;"_draw")))</f>
        <v>Alemania_lose</v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n">
        <f aca="false">IF(OR(F49="",G49=""),"",IF(F49&gt;G49,1,IF(F49&lt;G49,-1,0)))</f>
        <v>1</v>
      </c>
      <c r="AH49" s="40" t="n">
        <f aca="false">MIN(AH44:AH47)</f>
        <v>-898</v>
      </c>
      <c r="AI49" s="40" t="n">
        <f aca="false">MIN(AI44:AI47)</f>
        <v>-9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 t="n">
        <v>0</v>
      </c>
      <c r="G50" s="65" t="n">
        <v>3</v>
      </c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>México_lose</v>
      </c>
      <c r="T50" s="41" t="str">
        <f aca="false">IF(S50="","",IF(F50&lt;G50,H50&amp;"_win",IF(F50&gt;G50,H50&amp;"_lose",H50&amp;"_draw")))</f>
        <v>Suecia_win</v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1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2</v>
      </c>
      <c r="AG50" s="40" t="n">
        <f aca="false">SUMIF($E$7:$E$54,$AB50,$G$7:$G$54) + SUMIF($H$7:$H$54,$AB50,$F$7:$F$54)</f>
        <v>6</v>
      </c>
      <c r="AH50" s="40" t="n">
        <f aca="false">(AF50-AG50)*100+AK50*10000+AF50</f>
        <v>9602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1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171.667271166667</v>
      </c>
      <c r="AO50" s="43" t="str">
        <f aca="false">IF(SUM(AC50:AE53)=12,J51,INDEX(T,84,lang))</f>
        <v>Colombia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 t="n">
        <v>0</v>
      </c>
      <c r="G51" s="65" t="n">
        <v>1</v>
      </c>
      <c r="H51" s="66" t="str">
        <f aca="false">AB44</f>
        <v>Bélgica</v>
      </c>
      <c r="J51" s="71" t="str">
        <f aca="false">VLOOKUP(1,AA50:AK53,2,0)</f>
        <v>Colombia</v>
      </c>
      <c r="K51" s="72" t="n">
        <f aca="false">L51+M51+N51</f>
        <v>3</v>
      </c>
      <c r="L51" s="72" t="n">
        <f aca="false">VLOOKUP(1,AA50:AK53,3,0)</f>
        <v>2</v>
      </c>
      <c r="M51" s="72" t="n">
        <f aca="false">VLOOKUP(1,AA50:AK53,4,0)</f>
        <v>0</v>
      </c>
      <c r="N51" s="72" t="n">
        <f aca="false">VLOOKUP(1,AA50:AK53,5,0)</f>
        <v>1</v>
      </c>
      <c r="O51" s="72" t="str">
        <f aca="false">VLOOKUP(1,AA50:AK53,6,0) &amp; " - " &amp; VLOOKUP(1,AA50:AK53,7,0)</f>
        <v>5 - 2</v>
      </c>
      <c r="P51" s="73" t="n">
        <f aca="false">L51*3+M51</f>
        <v>6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>Inglaterra_lose</v>
      </c>
      <c r="T51" s="41" t="str">
        <f aca="false">IF(S51="","",IF(F51&lt;G51,H51&amp;"_win",IF(F51&gt;G51,H51&amp;"_lose",H51&amp;"_draw")))</f>
        <v>Bélgica_win</v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-1</v>
      </c>
      <c r="AA51" s="40" t="n">
        <f aca="false">COUNTIF(AN50:AN53,CONCATENATE("&gt;=",AN51))</f>
        <v>3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1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4</v>
      </c>
      <c r="AH51" s="40" t="n">
        <f aca="false">(AF51-AG51)*100+AK51*10000+AF51</f>
        <v>40004</v>
      </c>
      <c r="AI51" s="40" t="n">
        <f aca="false">AF51-AG51</f>
        <v>0</v>
      </c>
      <c r="AJ51" s="40" t="n">
        <f aca="false">(AI51-AI55)/AI54</f>
        <v>0.5</v>
      </c>
      <c r="AK51" s="40" t="n">
        <f aca="false">AC51*3+AD51</f>
        <v>4</v>
      </c>
      <c r="AL51" s="40" t="n">
        <f aca="false">AP51/AP54*1000+AQ51/AQ54*100+AT51/AT54*10+AR51/AR54</f>
        <v>0</v>
      </c>
      <c r="AM51" s="40" t="n">
        <f aca="false">VLOOKUP(AB51,db_fifarank,2,0)/2000000</f>
        <v>0.000442</v>
      </c>
      <c r="AN51" s="42" t="n">
        <f aca="false">1000*AK51/AK54+100*AJ51+10*AF51/AF54+1*AL51/AL54+AM51</f>
        <v>726.667108666667</v>
      </c>
      <c r="AO51" s="43" t="str">
        <f aca="false">IF(SUM(AC50:AE53)=12,J52,INDEX(T,85,lang))</f>
        <v>Japón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0</v>
      </c>
      <c r="AR51" s="44" t="n">
        <f aca="false">SUMPRODUCT(($E$7:$E$54=AB51)*($U$7:$U$54)*($F$7:$F$54))+SUMPRODUCT(($H$7:$H$54=AB51)*($U$7:$U$54)*($G$7:$G$54))</f>
        <v>0</v>
      </c>
      <c r="AS51" s="44" t="n">
        <f aca="false">SUMPRODUCT(($E$7:$E$54=AB51)*($U$7:$U$54)*($G$7:$G$54))+SUMPRODUCT(($H$7:$H$54=AB51)*($U$7:$U$54)*($F$7:$F$54))</f>
        <v>0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 t="n">
        <v>1</v>
      </c>
      <c r="G52" s="65" t="n">
        <v>2</v>
      </c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3</v>
      </c>
      <c r="L52" s="76" t="n">
        <f aca="false">VLOOKUP(2,AA50:AK53,3,0)</f>
        <v>1</v>
      </c>
      <c r="M52" s="76" t="n">
        <f aca="false">VLOOKUP(2,AA50:AK53,4,0)</f>
        <v>2</v>
      </c>
      <c r="N52" s="76" t="n">
        <f aca="false">VLOOKUP(2,AA50:AK53,5,0)</f>
        <v>0</v>
      </c>
      <c r="O52" s="76" t="str">
        <f aca="false">VLOOKUP(2,AA50:AK53,6,0) &amp; " - " &amp; VLOOKUP(2,AA50:AK53,7,0)</f>
        <v>5 - 4</v>
      </c>
      <c r="P52" s="77" t="n">
        <f aca="false">L52*3+M52</f>
        <v>5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>Panamá_lose</v>
      </c>
      <c r="T52" s="41" t="str">
        <f aca="false">IF(S52="","",IF(F52&lt;G52,H52&amp;"_win",IF(F52&gt;G52,H52&amp;"_lose",H52&amp;"_draw")))</f>
        <v>Túnez_win</v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n">
        <f aca="false">IF(OR(F52="",G52=""),"",IF(F52&gt;G52,1,IF(F52&lt;G52,-1,0)))</f>
        <v>-1</v>
      </c>
      <c r="AA52" s="40" t="n">
        <f aca="false">COUNTIF(AN50:AN53,CONCATENATE("&gt;=",AN52))</f>
        <v>1</v>
      </c>
      <c r="AB52" s="42" t="str">
        <f aca="false">VLOOKUP("Colombia",T,lang,0)</f>
        <v>Colombia</v>
      </c>
      <c r="AC52" s="40" t="n">
        <f aca="false">COUNTIF($S$7:$T$54,"=" &amp; AB52 &amp; "_win")</f>
        <v>2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5</v>
      </c>
      <c r="AG52" s="40" t="n">
        <f aca="false">SUMIF($E$7:$E$54,$AB52,$G$7:$G$54) + SUMIF($H$7:$H$54,$AB52,$F$7:$F$54)</f>
        <v>2</v>
      </c>
      <c r="AH52" s="40" t="n">
        <f aca="false">(AF52-AG52)*100+AK52*10000+AF52</f>
        <v>60305</v>
      </c>
      <c r="AI52" s="40" t="n">
        <f aca="false">AF52-AG52</f>
        <v>3</v>
      </c>
      <c r="AJ52" s="40" t="n">
        <f aca="false">(AI52-AI55)/AI54</f>
        <v>0.875</v>
      </c>
      <c r="AK52" s="40" t="n">
        <f aca="false">AC52*3+AD52</f>
        <v>6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1100.000539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 t="n">
        <v>1</v>
      </c>
      <c r="G53" s="65" t="n">
        <v>1</v>
      </c>
      <c r="H53" s="66" t="str">
        <f aca="false">AB50</f>
        <v>Polonia</v>
      </c>
      <c r="J53" s="75" t="str">
        <f aca="false">VLOOKUP(3,AA50:AK53,2,0)</f>
        <v>Senegal</v>
      </c>
      <c r="K53" s="76" t="n">
        <f aca="false">L53+M53+N53</f>
        <v>3</v>
      </c>
      <c r="L53" s="76" t="n">
        <f aca="false">VLOOKUP(3,AA50:AK53,3,0)</f>
        <v>1</v>
      </c>
      <c r="M53" s="76" t="n">
        <f aca="false">VLOOKUP(3,AA50:AK53,4,0)</f>
        <v>1</v>
      </c>
      <c r="N53" s="76" t="n">
        <f aca="false">VLOOKUP(3,AA50:AK53,5,0)</f>
        <v>1</v>
      </c>
      <c r="O53" s="76" t="str">
        <f aca="false">VLOOKUP(3,AA50:AK53,6,0) &amp; " - " &amp; VLOOKUP(3,AA50:AK53,7,0)</f>
        <v>4 - 4</v>
      </c>
      <c r="P53" s="77" t="n">
        <f aca="false">L53*3+M53</f>
        <v>4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>Japón_draw</v>
      </c>
      <c r="T53" s="41" t="str">
        <f aca="false">IF(S53="","",IF(F53&lt;G53,H53&amp;"_win",IF(F53&gt;G53,H53&amp;"_lose",H53&amp;"_draw")))</f>
        <v>Polonia_draw</v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0</v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2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5</v>
      </c>
      <c r="AG53" s="40" t="n">
        <f aca="false">SUMIF($E$7:$E$54,$AB53,$G$7:$G$54) + SUMIF($H$7:$H$54,$AB53,$F$7:$F$54)</f>
        <v>4</v>
      </c>
      <c r="AH53" s="40" t="n">
        <f aca="false">(AF53-AG53)*100+AK53*10000+AF53</f>
        <v>50105</v>
      </c>
      <c r="AI53" s="40" t="n">
        <f aca="false">AF53-AG53</f>
        <v>1</v>
      </c>
      <c r="AJ53" s="40" t="n">
        <f aca="false">(AI53-AI55)/AI54</f>
        <v>0.625</v>
      </c>
      <c r="AK53" s="40" t="n">
        <f aca="false">AC53*3+AD53</f>
        <v>5</v>
      </c>
      <c r="AL53" s="40" t="n">
        <f aca="false">AP53/AP54*1000+AQ53/AQ54*100+AT53/AT54*10+AR53/AR54</f>
        <v>0</v>
      </c>
      <c r="AM53" s="40" t="n">
        <f aca="false">VLOOKUP(AB53,db_fifarank,2,0)/2000000</f>
        <v>0.0003</v>
      </c>
      <c r="AN53" s="42" t="n">
        <f aca="false">1000*AK53/AK54+100*AJ53+10*AF53/AF54+1*AL53/AL54+AM53</f>
        <v>908.333633333333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0</v>
      </c>
      <c r="AR53" s="44" t="n">
        <f aca="false">SUMPRODUCT(($E$7:$E$54=AB53)*($U$7:$U$54)*($F$7:$F$54))+SUMPRODUCT(($H$7:$H$54=AB53)*($U$7:$U$54)*($G$7:$G$54))</f>
        <v>0</v>
      </c>
      <c r="AS53" s="44" t="n">
        <f aca="false">SUMPRODUCT(($E$7:$E$54=AB53)*($U$7:$U$54)*($G$7:$G$54))+SUMPRODUCT(($H$7:$H$54=AB53)*($U$7:$U$54)*($F$7:$F$54))</f>
        <v>0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 t="n">
        <v>0</v>
      </c>
      <c r="G54" s="84" t="n">
        <v>1</v>
      </c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3</v>
      </c>
      <c r="L54" s="88" t="n">
        <f aca="false">VLOOKUP(4,AA50:AK53,3,0)</f>
        <v>0</v>
      </c>
      <c r="M54" s="88" t="n">
        <f aca="false">VLOOKUP(4,AA50:AK53,4,0)</f>
        <v>1</v>
      </c>
      <c r="N54" s="88" t="n">
        <f aca="false">VLOOKUP(4,AA50:AK53,5,0)</f>
        <v>2</v>
      </c>
      <c r="O54" s="88" t="str">
        <f aca="false">VLOOKUP(4,AA50:AK53,6,0) &amp; " - " &amp; VLOOKUP(4,AA50:AK53,7,0)</f>
        <v>2 - 6</v>
      </c>
      <c r="P54" s="89" t="n">
        <f aca="false">L54*3+M54</f>
        <v>1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>Senegal_lose</v>
      </c>
      <c r="T54" s="41" t="str">
        <f aca="false">IF(S54="","",IF(F54&lt;G54,H54&amp;"_win",IF(F54&gt;G54,H54&amp;"_lose",H54&amp;"_draw")))</f>
        <v>Colombia_win</v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3</v>
      </c>
      <c r="AD54" s="40" t="n">
        <f aca="false">MAX(AD50:AD53)-MIN(AD50:AD53)+1</f>
        <v>3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5</v>
      </c>
      <c r="AH54" s="40" t="n">
        <f aca="false">MAX(AH50:AH53)-AH55+1</f>
        <v>50704</v>
      </c>
      <c r="AI54" s="40" t="n">
        <f aca="false">MAX(AI50:AI53)-AI55+1</f>
        <v>8</v>
      </c>
      <c r="AK54" s="40" t="n">
        <f aca="false">MAX(AK50:AK53)-MIN(AK50:AK53)+1</f>
        <v>6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9602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>Uruguay</v>
      </c>
      <c r="T58" s="41" t="str">
        <f aca="false">IF(OR(S58="",S58="draw"),INDEX(T,86,lang),S58)</f>
        <v>Uruguay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>Francia</v>
      </c>
      <c r="T59" s="41" t="str">
        <f aca="false">IF(OR(S59="",S59="draw"),INDEX(T,87,lang),S59)</f>
        <v>Francia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>Rusia</v>
      </c>
      <c r="T60" s="41" t="str">
        <f aca="false">IF(OR(S60="",S60="draw"),INDEX(T,88,lang),S60)</f>
        <v>Rusia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>Croacia</v>
      </c>
      <c r="T61" s="41" t="str">
        <f aca="false">IF(OR(S61="",S61="draw"),INDEX(T,89,lang),S61)</f>
        <v>Croacia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>Brasil</v>
      </c>
      <c r="T62" s="41" t="str">
        <f aca="false">IF(OR(S62="",S62="draw"),INDEX(T,90,lang),S62)</f>
        <v>Brasil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>Bélgica</v>
      </c>
      <c r="T63" s="41" t="str">
        <f aca="false">IF(OR(S63="",S63="draw"),INDEX(T,91,lang),S63)</f>
        <v>Bélgica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>Suecia</v>
      </c>
      <c r="T64" s="41" t="str">
        <f aca="false">IF(OR(S64="",S64="draw"),INDEX(T,92,lang),S64)</f>
        <v>Suecia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>Inglaterra</v>
      </c>
      <c r="T65" s="41" t="str">
        <f aca="false">IF(OR(S65="",S65="draw"),INDEX(T,93,lang),S65)</f>
        <v>Inglaterra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2018-07-03T16:55:23Z</dcterms:modified>
  <cp:revision>35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