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379.png" ContentType="image/png"/>
  <Override PartName="/xl/media/image378.png" ContentType="image/png"/>
  <Override PartName="/xl/media/image377.png" ContentType="image/png"/>
  <Override PartName="/xl/media/image376.png" ContentType="image/png"/>
  <Override PartName="/xl/media/image375.png" ContentType="image/png"/>
  <Override PartName="/xl/media/image374.png" ContentType="image/png"/>
  <Override PartName="/xl/media/image373.png" ContentType="image/png"/>
  <Override PartName="/xl/media/image372.png" ContentType="image/png"/>
  <Override PartName="/xl/media/image370.png" ContentType="image/png"/>
  <Override PartName="/xl/media/image369.png" ContentType="image/png"/>
  <Override PartName="/xl/media/image368.png" ContentType="image/png"/>
  <Override PartName="/xl/media/image367.png" ContentType="image/png"/>
  <Override PartName="/xl/media/image294.png" ContentType="image/png"/>
  <Override PartName="/xl/media/image361.png" ContentType="image/png"/>
  <Override PartName="/xl/media/image293.png" ContentType="image/png"/>
  <Override PartName="/xl/media/image360.png" ContentType="image/png"/>
  <Override PartName="/xl/media/image292.png" ContentType="image/png"/>
  <Override PartName="/xl/media/image291.png" ContentType="image/png"/>
  <Override PartName="/xl/media/image371.png" ContentType="image/png"/>
  <Override PartName="/xl/media/image289.png" ContentType="image/png"/>
  <Override PartName="/xl/media/image331.png" ContentType="image/png"/>
  <Override PartName="/xl/media/image356.png" ContentType="image/png"/>
  <Override PartName="/xl/media/image296.png" ContentType="image/png"/>
  <Override PartName="/xl/media/image363.png" ContentType="image/png"/>
  <Override PartName="/xl/media/image290.png" ContentType="image/png"/>
  <Override PartName="/xl/media/image295.png" ContentType="image/png"/>
  <Override PartName="/xl/media/image362.png" ContentType="image/png"/>
  <Override PartName="/xl/media/image297.png" ContentType="image/png"/>
  <Override PartName="/xl/media/image364.png" ContentType="image/png"/>
  <Override PartName="/xl/media/image298.png" ContentType="image/png"/>
  <Override PartName="/xl/media/image340.png" ContentType="image/png"/>
  <Override PartName="/xl/media/image365.png" ContentType="image/png"/>
  <Override PartName="/xl/media/image299.png" ContentType="image/png"/>
  <Override PartName="/xl/media/image341.png" ContentType="image/png"/>
  <Override PartName="/xl/media/image366.png" ContentType="image/png"/>
  <Override PartName="/xl/media/image324.png" ContentType="image/png"/>
  <Override PartName="/xl/media/image349.png" ContentType="image/png"/>
  <Override PartName="/xl/media/image323.png" ContentType="image/png"/>
  <Override PartName="/xl/media/image348.png" ContentType="image/png"/>
  <Override PartName="/xl/media/image322.png" ContentType="image/png"/>
  <Override PartName="/xl/media/image347.png" ContentType="image/png"/>
  <Override PartName="/xl/media/image321.png" ContentType="image/png"/>
  <Override PartName="/xl/media/image346.png" ContentType="image/png"/>
  <Override PartName="/xl/media/image320.png" ContentType="image/png"/>
  <Override PartName="/xl/media/image345.png" ContentType="image/png"/>
  <Override PartName="/xl/media/image319.png" ContentType="image/png"/>
  <Override PartName="/xl/media/image318.png" ContentType="image/png"/>
  <Override PartName="/xl/media/image317.png" ContentType="image/png"/>
  <Override PartName="/xl/media/image316.png" ContentType="image/png"/>
  <Override PartName="/xl/media/image315.png" ContentType="image/png"/>
  <Override PartName="/xl/media/image314.png" ContentType="image/png"/>
  <Override PartName="/xl/media/image339.png" ContentType="image/png"/>
  <Override PartName="/xl/media/image313.png" ContentType="image/png"/>
  <Override PartName="/xl/media/image384.png" ContentType="image/png"/>
  <Override PartName="/xl/media/image338.png" ContentType="image/png"/>
  <Override PartName="/xl/media/image312.png" ContentType="image/png"/>
  <Override PartName="/xl/media/image383.png" ContentType="image/png"/>
  <Override PartName="/xl/media/image337.png" ContentType="image/png"/>
  <Override PartName="/xl/media/image311.png" ContentType="image/png"/>
  <Override PartName="/xl/media/image382.png" ContentType="image/png"/>
  <Override PartName="/xl/media/image336.png" ContentType="image/png"/>
  <Override PartName="/xl/media/image310.png" ContentType="image/png"/>
  <Override PartName="/xl/media/image381.png" ContentType="image/png"/>
  <Override PartName="/xl/media/image335.png" ContentType="image/png"/>
  <Override PartName="/xl/media/image309.png" ContentType="image/png"/>
  <Override PartName="/xl/media/image308.png" ContentType="image/png"/>
  <Override PartName="/xl/media/image307.png" ContentType="image/png"/>
  <Override PartName="/xl/media/image306.png" ContentType="image/png"/>
  <Override PartName="/xl/media/image305.png" ContentType="image/png"/>
  <Override PartName="/xl/media/image304.png" ContentType="image/png"/>
  <Override PartName="/xl/media/image329.png" ContentType="image/png"/>
  <Override PartName="/xl/media/image303.png" ContentType="image/png"/>
  <Override PartName="/xl/media/image328.png" ContentType="image/png"/>
  <Override PartName="/xl/media/image302.png" ContentType="image/png"/>
  <Override PartName="/xl/media/image327.png" ContentType="image/png"/>
  <Override PartName="/xl/media/image301.png" ContentType="image/png"/>
  <Override PartName="/xl/media/image326.png" ContentType="image/png"/>
  <Override PartName="/xl/media/image300.png" ContentType="image/png"/>
  <Override PartName="/xl/media/image325.png" ContentType="image/png"/>
  <Override PartName="/xl/media/image330.png" ContentType="image/png"/>
  <Override PartName="/xl/media/image355.png" ContentType="image/png"/>
  <Override PartName="/xl/media/image332.png" ContentType="image/png"/>
  <Override PartName="/xl/media/image357.png" ContentType="image/png"/>
  <Override PartName="/xl/media/image333.png" ContentType="image/png"/>
  <Override PartName="/xl/media/image358.png" ContentType="image/png"/>
  <Override PartName="/xl/media/image380.png" ContentType="image/png"/>
  <Override PartName="/xl/media/image334.png" ContentType="image/png"/>
  <Override PartName="/xl/media/image359.png" ContentType="image/png"/>
  <Override PartName="/xl/media/image342.png" ContentType="image/png"/>
  <Override PartName="/xl/media/image343.png" ContentType="image/png"/>
  <Override PartName="/xl/media/image344.png" ContentType="image/png"/>
  <Override PartName="/xl/media/image350.png" ContentType="image/png"/>
  <Override PartName="/xl/media/image351.png" ContentType="image/png"/>
  <Override PartName="/xl/media/image352.png" ContentType="image/png"/>
  <Override PartName="/xl/media/image353.png" ContentType="image/png"/>
  <Override PartName="/xl/media/image35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T" sheetId="1" state="hidden" r:id="rId2"/>
    <sheet name="Settings" sheetId="2" state="visible" r:id="rId3"/>
    <sheet name="2018 World Cup" sheetId="3" state="visible" r:id="rId4"/>
  </sheets>
  <definedNames>
    <definedName function="false" hidden="false" name="db_fifarank" vbProcedure="false">Settings!$B$17:$C$48</definedName>
    <definedName function="false" hidden="false" name="gmt_delta" vbProcedure="false">Settings!$G$16</definedName>
    <definedName function="false" hidden="false" name="lang" vbProcedure="false">Settings!$G$15</definedName>
    <definedName function="false" hidden="false" name="lang_list" vbProcedure="false">T!$1:$1</definedName>
    <definedName function="false" hidden="false" name="my_team" vbProcedure="false">Settings!$I$15</definedName>
    <definedName function="false" hidden="false" name="T" vbProcedure="false">T!$1:$1048576</definedName>
    <definedName function="false" hidden="false" name="teams" vbProcedure="false">Settings!$I$17:$I$48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<sst xmlns="http://schemas.openxmlformats.org/spreadsheetml/2006/main" count="4451" uniqueCount="2560">
  <si>
    <t xml:space="preserve">English</t>
  </si>
  <si>
    <t xml:space="preserve">Albanian</t>
  </si>
  <si>
    <t xml:space="preserve">Arabic</t>
  </si>
  <si>
    <t xml:space="preserve">Armenian</t>
  </si>
  <si>
    <t xml:space="preserve">Azerbaijan</t>
  </si>
  <si>
    <t xml:space="preserve">Bulgarian</t>
  </si>
  <si>
    <t xml:space="preserve">Català</t>
  </si>
  <si>
    <t xml:space="preserve">Chinese (Simplified)</t>
  </si>
  <si>
    <t xml:space="preserve">Chinese (Traditional)</t>
  </si>
  <si>
    <t xml:space="preserve">Croatian</t>
  </si>
  <si>
    <t xml:space="preserve">Czech</t>
  </si>
  <si>
    <t xml:space="preserve">Danish</t>
  </si>
  <si>
    <t xml:space="preserve">Dutch</t>
  </si>
  <si>
    <t xml:space="preserve">French</t>
  </si>
  <si>
    <t xml:space="preserve">Georgian</t>
  </si>
  <si>
    <t xml:space="preserve">German</t>
  </si>
  <si>
    <t xml:space="preserve">Greek</t>
  </si>
  <si>
    <t xml:space="preserve">Hebrew</t>
  </si>
  <si>
    <t xml:space="preserve">Hungarian</t>
  </si>
  <si>
    <t xml:space="preserve">Indonesia</t>
  </si>
  <si>
    <t xml:space="preserve">Icelandic</t>
  </si>
  <si>
    <t xml:space="preserve">Italian</t>
  </si>
  <si>
    <t xml:space="preserve">Korean</t>
  </si>
  <si>
    <t xml:space="preserve">Lithuanian</t>
  </si>
  <si>
    <t xml:space="preserve">Macedonian</t>
  </si>
  <si>
    <t xml:space="preserve">Maltese</t>
  </si>
  <si>
    <t xml:space="preserve">Norwegian</t>
  </si>
  <si>
    <t xml:space="preserve">Persian</t>
  </si>
  <si>
    <t xml:space="preserve">Polish</t>
  </si>
  <si>
    <t xml:space="preserve">Portuguese</t>
  </si>
  <si>
    <t xml:space="preserve">Romanian</t>
  </si>
  <si>
    <t xml:space="preserve">Russian</t>
  </si>
  <si>
    <t xml:space="preserve">Serbian</t>
  </si>
  <si>
    <t xml:space="preserve">Slovak</t>
  </si>
  <si>
    <t xml:space="preserve">Slovenian</t>
  </si>
  <si>
    <t xml:space="preserve">Spanish</t>
  </si>
  <si>
    <t xml:space="preserve">Swedish</t>
  </si>
  <si>
    <t xml:space="preserve">Thai</t>
  </si>
  <si>
    <t xml:space="preserve">Turkish</t>
  </si>
  <si>
    <t xml:space="preserve">Vietnamese</t>
  </si>
  <si>
    <t xml:space="preserve">Ukrainian</t>
  </si>
  <si>
    <t xml:space="preserve">Urdu</t>
  </si>
  <si>
    <t xml:space="preserve">Uzbek</t>
  </si>
  <si>
    <t xml:space="preserve">2018 World Cup Final Tournament Schedule</t>
  </si>
  <si>
    <t xml:space="preserve">Kupa Botërore 2018</t>
  </si>
  <si>
    <r>
      <rPr>
        <sz val="11"/>
        <color rgb="FF000000"/>
        <rFont val="Noto Sans Devanagari"/>
        <family val="2"/>
        <charset val="1"/>
      </rPr>
      <t xml:space="preserve">جدول مباريات كأس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</si>
  <si>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առաջնություն </t>
  </si>
  <si>
    <t xml:space="preserve">2018 - cu il Dünya Çempionatinin Final Mərhələsinin Cədvəli</t>
  </si>
  <si>
    <t xml:space="preserve">График на срещите - Световно първенство 2018</t>
  </si>
  <si>
    <t xml:space="preserve">Calendari de la Fase Final de la Copa del Món de futbol 2018</t>
  </si>
  <si>
    <r>
      <rPr>
        <sz val="11"/>
        <color rgb="FF000000"/>
        <rFont val="Droid Sans Fallback"/>
        <family val="2"/>
        <charset val="1"/>
      </rPr>
      <t xml:space="preserve">巴西</t>
    </r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年世界杯</t>
    </r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</si>
  <si>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世界盃賽程</t>
    </r>
  </si>
  <si>
    <t xml:space="preserve">Svjetsko prvenstvo 2018 raspored utakmica</t>
  </si>
  <si>
    <t xml:space="preserve">Mistrovství světa ve fotbale 2018</t>
  </si>
  <si>
    <t xml:space="preserve">2018 Verdensmesterskabs Oversigt</t>
  </si>
  <si>
    <t xml:space="preserve">Wereldkampioenschap 2018 Toernooischema</t>
  </si>
  <si>
    <t xml:space="preserve">Coupe du Monde de la FIFA 2018 - Calendrier des matchs</t>
  </si>
  <si>
    <t xml:space="preserve">მსოფლიო ჩემპიონატი ფეხბურთში - სამხრეთ აფრიკა 2018</t>
  </si>
  <si>
    <t xml:space="preserve">Spielplan Weltmeisterschafts endrunde 2018</t>
  </si>
  <si>
    <t xml:space="preserve">Πρόγραμμα Τελικών Παγκοσμίου Κυπέλλου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</si>
  <si>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Noto Sans Devanagari"/>
        <family val="2"/>
        <charset val="1"/>
      </rPr>
      <t xml:space="preserve">גביע העולם טורניר הגמר תזמן</t>
    </r>
  </si>
  <si>
    <t xml:space="preserve">2018 Labdarúgó-világbajnokság döntő sorozata</t>
  </si>
  <si>
    <t xml:space="preserve">Jadwal Turnamen Final Piala Dunia 2018</t>
  </si>
  <si>
    <t xml:space="preserve">HM 2018 lokakeppnin</t>
  </si>
  <si>
    <t xml:space="preserve">Calendario Coppa del mondo 2018</t>
  </si>
  <si>
    <r>
      <rPr>
        <sz val="11"/>
        <color rgb="FF000000"/>
        <rFont val="Calibri"/>
        <family val="2"/>
        <charset val="1"/>
      </rPr>
      <t xml:space="preserve">2018 </t>
    </r>
    <r>
      <rPr>
        <sz val="11"/>
        <color rgb="FF000000"/>
        <rFont val="Droid Sans Fallback"/>
        <family val="2"/>
        <charset val="1"/>
      </rPr>
      <t xml:space="preserve">월드컵 최종 토너먼트 일정</t>
    </r>
  </si>
  <si>
    <t xml:space="preserve">2018 Pasaulio Futbolo Čempionato Tvarkaraštis</t>
  </si>
  <si>
    <t xml:space="preserve">Светски првенство 2018 - Распоред на натпревари</t>
  </si>
  <si>
    <t xml:space="preserve">Skeda tat-Tazza tad-Dinja 2018</t>
  </si>
  <si>
    <t xml:space="preserve">Verdensmesterskapet i fotball 2018</t>
  </si>
  <si>
    <r>
      <rPr>
        <sz val="11"/>
        <color rgb="FF000000"/>
        <rFont val="Noto Sans Devanagari"/>
        <family val="2"/>
        <charset val="1"/>
      </rPr>
      <t xml:space="preserve">جدول مسابقات فینال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</si>
  <si>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Mistrzostwa Świata Terminarz Meczy</t>
  </si>
  <si>
    <t xml:space="preserve">Calendário Fase Final Mundial 2018</t>
  </si>
  <si>
    <t xml:space="preserve">Programul Turneului Final FIFA World Cup 2018</t>
  </si>
  <si>
    <t xml:space="preserve">Расписание Игр Финальной Стадии Чемпионата Мира по Футболу 2018</t>
  </si>
  <si>
    <t xml:space="preserve">Svetsko prvenstvo u fudbalu 2018 - Raspored utakmica</t>
  </si>
  <si>
    <t xml:space="preserve">Majstrovstvá sveta vo futbale 2018</t>
  </si>
  <si>
    <t xml:space="preserve">Svetovno prvenstvo 2018 razpored tekem</t>
  </si>
  <si>
    <t xml:space="preserve">Copa Mundial de Fútbol - Brasil 2018</t>
  </si>
  <si>
    <t xml:space="preserve">Schema för VM-slutspelet 2018</t>
  </si>
  <si>
    <r>
      <rPr>
        <sz val="11"/>
        <color rgb="FF000000"/>
        <rFont val="Noto Sans Devanagari"/>
        <family val="2"/>
        <charset val="1"/>
      </rPr>
      <t xml:space="preserve">ตารางการแข่งขันฟุตบอลโลก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</si>
  <si>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Kupası Finalleri Turnuva Fikstürü</t>
  </si>
  <si>
    <t xml:space="preserve">Lịch Thi Đấu Cúp Bóng Đá Thế Giới 2018</t>
  </si>
  <si>
    <t xml:space="preserve">Календар Чемпіонату Світу 2018</t>
  </si>
  <si>
    <t xml:space="preserve">۲۰۱۰ فٹبال عالمی کپ ٹورنمنٹ کا خاکہ</t>
  </si>
  <si>
    <t xml:space="preserve">Футбол бўйича 2018 йил жаҳон чемпионати финал босқичи ўйинлар Жадвали</t>
  </si>
  <si>
    <t xml:space="preserve">Group Stage</t>
  </si>
  <si>
    <t xml:space="preserve">Grupet</t>
  </si>
  <si>
    <t xml:space="preserve">الدور الأول</t>
  </si>
  <si>
    <t xml:space="preserve">Խմբային փուլ</t>
  </si>
  <si>
    <t xml:space="preserve">Qrup Mərhələsi</t>
  </si>
  <si>
    <t xml:space="preserve">Групова фаза</t>
  </si>
  <si>
    <t xml:space="preserve">Fase de grups</t>
  </si>
  <si>
    <t xml:space="preserve">小组赛阶段</t>
  </si>
  <si>
    <t xml:space="preserve">分組賽</t>
  </si>
  <si>
    <t xml:space="preserve">Prvi krug</t>
  </si>
  <si>
    <t xml:space="preserve">Základní skupiny</t>
  </si>
  <si>
    <t xml:space="preserve">Gruppespil</t>
  </si>
  <si>
    <t xml:space="preserve">Groepsfase</t>
  </si>
  <si>
    <t xml:space="preserve">Phase de groupes</t>
  </si>
  <si>
    <t xml:space="preserve">ჯგუფური ეტაპი</t>
  </si>
  <si>
    <t xml:space="preserve">Gruppenphase</t>
  </si>
  <si>
    <t xml:space="preserve">Φάση Ομίλων</t>
  </si>
  <si>
    <t xml:space="preserve">שלב הבתים</t>
  </si>
  <si>
    <t xml:space="preserve">Csoportkörök</t>
  </si>
  <si>
    <t xml:space="preserve">Babak Kualifikasi</t>
  </si>
  <si>
    <t xml:space="preserve">Riðlakeppnin</t>
  </si>
  <si>
    <t xml:space="preserve">Fase a gironi</t>
  </si>
  <si>
    <t xml:space="preserve">조별 리그</t>
  </si>
  <si>
    <t xml:space="preserve">Grupės Etapas</t>
  </si>
  <si>
    <t xml:space="preserve">Фаза по групи</t>
  </si>
  <si>
    <t xml:space="preserve">Fażi tal-Gruppi</t>
  </si>
  <si>
    <t xml:space="preserve">Gruppespill</t>
  </si>
  <si>
    <t xml:space="preserve">مرحله گروهی</t>
  </si>
  <si>
    <t xml:space="preserve">Faza Grupowa</t>
  </si>
  <si>
    <t xml:space="preserve">Fase de grupos</t>
  </si>
  <si>
    <t xml:space="preserve">Faza Grupelor</t>
  </si>
  <si>
    <t xml:space="preserve">Групповой Раунд</t>
  </si>
  <si>
    <t xml:space="preserve">Grupno takmičenje</t>
  </si>
  <si>
    <t xml:space="preserve">Skupinová fáza</t>
  </si>
  <si>
    <t xml:space="preserve">Skupinski del</t>
  </si>
  <si>
    <t xml:space="preserve">Gruppspel</t>
  </si>
  <si>
    <t xml:space="preserve">รอบแรก</t>
  </si>
  <si>
    <t xml:space="preserve">Grup Aşaması</t>
  </si>
  <si>
    <t xml:space="preserve">Vòng Bảng</t>
  </si>
  <si>
    <t xml:space="preserve">Груповий етап</t>
  </si>
  <si>
    <t xml:space="preserve">گروپ بندی</t>
  </si>
  <si>
    <t xml:space="preserve">Гуруҳ босқичи</t>
  </si>
  <si>
    <t xml:space="preserve">Round of 16</t>
  </si>
  <si>
    <t xml:space="preserve">Rundi I 16</t>
  </si>
  <si>
    <t xml:space="preserve">دور الستة عشر</t>
  </si>
  <si>
    <t xml:space="preserve">1/8 Եզրափակիչ</t>
  </si>
  <si>
    <t xml:space="preserve">16-da bir raund</t>
  </si>
  <si>
    <t xml:space="preserve">1/8 - финали</t>
  </si>
  <si>
    <t xml:space="preserve">Vuitens de final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</si>
  <si>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</si>
  <si>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十六強</t>
  </si>
  <si>
    <t xml:space="preserve">Drugi krug</t>
  </si>
  <si>
    <t xml:space="preserve">Osmifinále</t>
  </si>
  <si>
    <t xml:space="preserve">Runde af 16</t>
  </si>
  <si>
    <t xml:space="preserve">Achtste finales</t>
  </si>
  <si>
    <t xml:space="preserve">Huitièmes de finale</t>
  </si>
  <si>
    <t xml:space="preserve">მერვედფინალი</t>
  </si>
  <si>
    <t xml:space="preserve">Achtelfinale</t>
  </si>
  <si>
    <t xml:space="preserve">Φάση των 16</t>
  </si>
  <si>
    <t xml:space="preserve">שמינית גמר</t>
  </si>
  <si>
    <t xml:space="preserve">Nyolcaddöntők</t>
  </si>
  <si>
    <t xml:space="preserve">Per Delapan Final</t>
  </si>
  <si>
    <t xml:space="preserve">16 liða úrslit</t>
  </si>
  <si>
    <t xml:space="preserve">Ottavi di finale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</si>
  <si>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</si>
  <si>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16-tuko Raundas</t>
  </si>
  <si>
    <t xml:space="preserve">1/8 финале</t>
  </si>
  <si>
    <t xml:space="preserve">L-Aħħar Sittax</t>
  </si>
  <si>
    <t xml:space="preserve">8-dels finale</t>
  </si>
  <si>
    <t xml:space="preserve"> یک هشتم نهائی</t>
  </si>
  <si>
    <t xml:space="preserve">1/8 Finału</t>
  </si>
  <si>
    <t xml:space="preserve">Oitavos de Final</t>
  </si>
  <si>
    <t xml:space="preserve">Optimi</t>
  </si>
  <si>
    <t xml:space="preserve">1/8 Финала</t>
  </si>
  <si>
    <t xml:space="preserve">Šesnaestina finala</t>
  </si>
  <si>
    <t xml:space="preserve">Osemfinále</t>
  </si>
  <si>
    <t xml:space="preserve">Osminafinala</t>
  </si>
  <si>
    <t xml:space="preserve">Octavos de final</t>
  </si>
  <si>
    <t xml:space="preserve">Åttondelsfinal</t>
  </si>
  <si>
    <t xml:space="preserve">รอบสอง</t>
  </si>
  <si>
    <t xml:space="preserve">Son 16</t>
  </si>
  <si>
    <t xml:space="preserve">Vòng 1/16</t>
  </si>
  <si>
    <t xml:space="preserve">1/8 фіналу</t>
  </si>
  <si>
    <t xml:space="preserve">سولھواں دور</t>
  </si>
  <si>
    <t xml:space="preserve">Нимчорак финал</t>
  </si>
  <si>
    <t xml:space="preserve">Quarterfinals</t>
  </si>
  <si>
    <t xml:space="preserve">Qerekfinalja</t>
  </si>
  <si>
    <t xml:space="preserve">دور الربع نهائي</t>
  </si>
  <si>
    <t xml:space="preserve">1/4 Եզրափակիչ</t>
  </si>
  <si>
    <t xml:space="preserve">Dörddə bir Final</t>
  </si>
  <si>
    <t xml:space="preserve">1/4 - финали</t>
  </si>
  <si>
    <t xml:space="preserve">Quarts de final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</si>
  <si>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强赛</t>
    </r>
  </si>
  <si>
    <t xml:space="preserve">八強</t>
  </si>
  <si>
    <t xml:space="preserve">Četvrtfinale</t>
  </si>
  <si>
    <t xml:space="preserve">Čtvrtfinále</t>
  </si>
  <si>
    <t xml:space="preserve">Kvartfinale</t>
  </si>
  <si>
    <t xml:space="preserve">Kwartfinales</t>
  </si>
  <si>
    <t xml:space="preserve">Quart de Finale</t>
  </si>
  <si>
    <t xml:space="preserve">მეოთხედფინალი</t>
  </si>
  <si>
    <t xml:space="preserve">Viertelfinale</t>
  </si>
  <si>
    <t xml:space="preserve">Προημιτελικοί</t>
  </si>
  <si>
    <t xml:space="preserve">רבע גמר</t>
  </si>
  <si>
    <t xml:space="preserve">Negyeddöntők</t>
  </si>
  <si>
    <t xml:space="preserve">Perempat Final</t>
  </si>
  <si>
    <t xml:space="preserve">8 liða úrslit</t>
  </si>
  <si>
    <t xml:space="preserve">Quarti di finale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</si>
  <si>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</t>
    </r>
  </si>
  <si>
    <t xml:space="preserve">Ketvirtfinaliai</t>
  </si>
  <si>
    <t xml:space="preserve">1/4 финале</t>
  </si>
  <si>
    <t xml:space="preserve">Kwarti-Finali</t>
  </si>
  <si>
    <t xml:space="preserve">یک چهارم نهائی</t>
  </si>
  <si>
    <t xml:space="preserve">Ćwierćfinały</t>
  </si>
  <si>
    <t xml:space="preserve">Quartos de Final</t>
  </si>
  <si>
    <t xml:space="preserve">Sferturi de finala</t>
  </si>
  <si>
    <t xml:space="preserve">Четвертьфиналы</t>
  </si>
  <si>
    <t xml:space="preserve">Štvrťfinále</t>
  </si>
  <si>
    <t xml:space="preserve">Četrtfinale</t>
  </si>
  <si>
    <t xml:space="preserve">Cuartos de Final</t>
  </si>
  <si>
    <t xml:space="preserve">Kvartsfinal</t>
  </si>
  <si>
    <t xml:space="preserve">รอบก่อนรองชนะเลิศ</t>
  </si>
  <si>
    <t xml:space="preserve">Çeyrek Final</t>
  </si>
  <si>
    <t xml:space="preserve">Tứ kết</t>
  </si>
  <si>
    <t xml:space="preserve">Чвертьфінал</t>
  </si>
  <si>
    <t xml:space="preserve">کواٹر فائنل</t>
  </si>
  <si>
    <t xml:space="preserve">Чорак финал</t>
  </si>
  <si>
    <t xml:space="preserve">Semi-Finals</t>
  </si>
  <si>
    <t xml:space="preserve">Gjysmëfinalja</t>
  </si>
  <si>
    <t xml:space="preserve">دور النصف نهائي</t>
  </si>
  <si>
    <t xml:space="preserve">Կիսաեզրափակիչ</t>
  </si>
  <si>
    <t xml:space="preserve">Yarım Final</t>
  </si>
  <si>
    <t xml:space="preserve">1/2 - финали</t>
  </si>
  <si>
    <t xml:space="preserve">Semifinals</t>
  </si>
  <si>
    <t xml:space="preserve">半决赛</t>
  </si>
  <si>
    <t xml:space="preserve">準決賽</t>
  </si>
  <si>
    <t xml:space="preserve">Polufinale</t>
  </si>
  <si>
    <t xml:space="preserve">Semifinále</t>
  </si>
  <si>
    <t xml:space="preserve">Semifinale</t>
  </si>
  <si>
    <t xml:space="preserve">Halve finales</t>
  </si>
  <si>
    <t xml:space="preserve">Demi-Finale</t>
  </si>
  <si>
    <t xml:space="preserve">ნახევარფინალი</t>
  </si>
  <si>
    <t xml:space="preserve">Halbfinale</t>
  </si>
  <si>
    <t xml:space="preserve">Ημιτελικοί</t>
  </si>
  <si>
    <t xml:space="preserve">חצי גמר</t>
  </si>
  <si>
    <t xml:space="preserve">Elődöntők</t>
  </si>
  <si>
    <t xml:space="preserve">Semi Final</t>
  </si>
  <si>
    <t xml:space="preserve">Undanúrslit</t>
  </si>
  <si>
    <t xml:space="preserve">Semifinali</t>
  </si>
  <si>
    <t xml:space="preserve">준결승전</t>
  </si>
  <si>
    <t xml:space="preserve">Pusfinaliai</t>
  </si>
  <si>
    <t xml:space="preserve">1/2 финале</t>
  </si>
  <si>
    <t xml:space="preserve">Semi-Finali</t>
  </si>
  <si>
    <t xml:space="preserve">نیمه نهائی</t>
  </si>
  <si>
    <t xml:space="preserve">Półfinały</t>
  </si>
  <si>
    <t xml:space="preserve">Semi-final</t>
  </si>
  <si>
    <t xml:space="preserve">Полуфиналы</t>
  </si>
  <si>
    <t xml:space="preserve">Polfinale</t>
  </si>
  <si>
    <t xml:space="preserve">Semifinales</t>
  </si>
  <si>
    <t xml:space="preserve">Semifinal</t>
  </si>
  <si>
    <t xml:space="preserve">รอบรองชนะเลิศ</t>
  </si>
  <si>
    <t xml:space="preserve">Yarı Final</t>
  </si>
  <si>
    <t xml:space="preserve">Bán kết</t>
  </si>
  <si>
    <t xml:space="preserve">Півфінал</t>
  </si>
  <si>
    <t xml:space="preserve">سیمی فائنل</t>
  </si>
  <si>
    <t xml:space="preserve">Ярим финал</t>
  </si>
  <si>
    <t xml:space="preserve">Third-Place Play-Off</t>
  </si>
  <si>
    <t xml:space="preserve">Takimi për vendin e tretë</t>
  </si>
  <si>
    <t xml:space="preserve">تحديد المركزين الثالث والرابع</t>
  </si>
  <si>
    <t xml:space="preserve">3-րդ տեղի համար եզրափակիչ</t>
  </si>
  <si>
    <t xml:space="preserve">Üçüncü Yer Uğrunda</t>
  </si>
  <si>
    <t xml:space="preserve">Мач за трето място</t>
  </si>
  <si>
    <t xml:space="preserve">3r i 4t lloc</t>
  </si>
  <si>
    <t xml:space="preserve">季军赛</t>
  </si>
  <si>
    <t xml:space="preserve">季軍賽</t>
  </si>
  <si>
    <t xml:space="preserve">Za treće mjesto</t>
  </si>
  <si>
    <t xml:space="preserve">Zápas o 3.místo</t>
  </si>
  <si>
    <t xml:space="preserve">Tredjeplads Kamp</t>
  </si>
  <si>
    <t xml:space="preserve">Derde en vierde plaats</t>
  </si>
  <si>
    <t xml:space="preserve">Match pour la troisième place</t>
  </si>
  <si>
    <t xml:space="preserve">მესამე ადგილი</t>
  </si>
  <si>
    <t xml:space="preserve">Spiel um den dritten Platz</t>
  </si>
  <si>
    <t xml:space="preserve">Μικρός Τελικός</t>
  </si>
  <si>
    <r>
      <rPr>
        <sz val="11"/>
        <color rgb="FF000000"/>
        <rFont val="Noto Sans Devanagari"/>
        <family val="2"/>
        <charset val="1"/>
      </rPr>
      <t xml:space="preserve">מקום </t>
    </r>
    <r>
      <rPr>
        <sz val="11"/>
        <color rgb="FF000000"/>
        <rFont val="Calibri"/>
        <family val="2"/>
        <charset val="1"/>
      </rPr>
      <t xml:space="preserve">3-4</t>
    </r>
  </si>
  <si>
    <t xml:space="preserve">Bronzmeccs</t>
  </si>
  <si>
    <t xml:space="preserve">Perebutan Tempat Ketiga</t>
  </si>
  <si>
    <t xml:space="preserve">Leikur um 3.sæti</t>
  </si>
  <si>
    <t xml:space="preserve">Finale 3°- 4° posto</t>
  </si>
  <si>
    <r>
      <rPr>
        <sz val="11"/>
        <color rgb="FF000000"/>
        <rFont val="Calibri"/>
        <family val="2"/>
        <charset val="1"/>
      </rPr>
      <t xml:space="preserve">3,4</t>
    </r>
    <r>
      <rPr>
        <sz val="11"/>
        <color rgb="FF000000"/>
        <rFont val="Droid Sans Fallback"/>
        <family val="2"/>
        <charset val="1"/>
      </rPr>
      <t xml:space="preserve">위전</t>
    </r>
  </si>
  <si>
    <t xml:space="preserve">Rungtynės dėl Trečios Vietos</t>
  </si>
  <si>
    <t xml:space="preserve">Натпревар за трето место</t>
  </si>
  <si>
    <t xml:space="preserve">Final għat-Tielet u r-Raba' Post</t>
  </si>
  <si>
    <t xml:space="preserve">Bronsefinale</t>
  </si>
  <si>
    <t xml:space="preserve">رده بندی</t>
  </si>
  <si>
    <t xml:space="preserve">Mecz o trzecie miejsce</t>
  </si>
  <si>
    <t xml:space="preserve">3º/4º lugar</t>
  </si>
  <si>
    <t xml:space="preserve">Finala mica</t>
  </si>
  <si>
    <t xml:space="preserve">Матч за Третье Место</t>
  </si>
  <si>
    <t xml:space="preserve">Zápas o 3. miesto </t>
  </si>
  <si>
    <t xml:space="preserve">Za tretje mesto</t>
  </si>
  <si>
    <t xml:space="preserve">Tercer puesto</t>
  </si>
  <si>
    <t xml:space="preserve">Match om tredje pris</t>
  </si>
  <si>
    <r>
      <rPr>
        <sz val="11"/>
        <color rgb="FF000000"/>
        <rFont val="Noto Sans Devanagari"/>
        <family val="2"/>
        <charset val="1"/>
      </rPr>
      <t xml:space="preserve">รอบชิงที่ </t>
    </r>
    <r>
      <rPr>
        <sz val="11"/>
        <color rgb="FF000000"/>
        <rFont val="Calibri"/>
        <family val="2"/>
        <charset val="1"/>
      </rPr>
      <t xml:space="preserve">3</t>
    </r>
  </si>
  <si>
    <t xml:space="preserve">Üçüncülük Maçı</t>
  </si>
  <si>
    <t xml:space="preserve">Tranh hạng 3</t>
  </si>
  <si>
    <t xml:space="preserve">Матч за третє місце</t>
  </si>
  <si>
    <t xml:space="preserve">تیسرے مقام کے لئے کھیل</t>
  </si>
  <si>
    <t xml:space="preserve">3-ўрин учун баҳс (Play-Off)</t>
  </si>
  <si>
    <t xml:space="preserve">Final</t>
  </si>
  <si>
    <t xml:space="preserve">Finalja</t>
  </si>
  <si>
    <t xml:space="preserve">المباراة النهائية</t>
  </si>
  <si>
    <t xml:space="preserve">Եզրափակիչ</t>
  </si>
  <si>
    <t xml:space="preserve">Финал</t>
  </si>
  <si>
    <t xml:space="preserve">总决赛</t>
  </si>
  <si>
    <t xml:space="preserve">總決賽</t>
  </si>
  <si>
    <t xml:space="preserve">Finale</t>
  </si>
  <si>
    <t xml:space="preserve">Finále</t>
  </si>
  <si>
    <t xml:space="preserve">ფინალი</t>
  </si>
  <si>
    <t xml:space="preserve">Τελικός</t>
  </si>
  <si>
    <t xml:space="preserve">גמר</t>
  </si>
  <si>
    <t xml:space="preserve">Döntő</t>
  </si>
  <si>
    <t xml:space="preserve">Úrslit</t>
  </si>
  <si>
    <t xml:space="preserve">결승전</t>
  </si>
  <si>
    <t xml:space="preserve">Finalas</t>
  </si>
  <si>
    <t xml:space="preserve">Финале</t>
  </si>
  <si>
    <t xml:space="preserve">Finali</t>
  </si>
  <si>
    <t xml:space="preserve">فینال</t>
  </si>
  <si>
    <t xml:space="preserve">Finał</t>
  </si>
  <si>
    <t xml:space="preserve">FINALA</t>
  </si>
  <si>
    <t xml:space="preserve">รอบชิงชนะเลิศ</t>
  </si>
  <si>
    <t xml:space="preserve">Chung Kết</t>
  </si>
  <si>
    <t xml:space="preserve">Фінал</t>
  </si>
  <si>
    <t xml:space="preserve">فائنل</t>
  </si>
  <si>
    <t xml:space="preserve">Group</t>
  </si>
  <si>
    <t xml:space="preserve">Grupi</t>
  </si>
  <si>
    <t xml:space="preserve">المجموعة</t>
  </si>
  <si>
    <t xml:space="preserve">Խումբ</t>
  </si>
  <si>
    <t xml:space="preserve">Qrup</t>
  </si>
  <si>
    <t xml:space="preserve">Група</t>
  </si>
  <si>
    <t xml:space="preserve">Grup</t>
  </si>
  <si>
    <t xml:space="preserve">小组</t>
  </si>
  <si>
    <t xml:space="preserve">小組</t>
  </si>
  <si>
    <t xml:space="preserve">Grupa</t>
  </si>
  <si>
    <t xml:space="preserve">Skupina</t>
  </si>
  <si>
    <t xml:space="preserve">Gruppe</t>
  </si>
  <si>
    <t xml:space="preserve">Groep</t>
  </si>
  <si>
    <t xml:space="preserve">Groupe</t>
  </si>
  <si>
    <t xml:space="preserve">ჯგუფი</t>
  </si>
  <si>
    <t xml:space="preserve">Όμιλος</t>
  </si>
  <si>
    <t xml:space="preserve">בית</t>
  </si>
  <si>
    <t xml:space="preserve">Csoport</t>
  </si>
  <si>
    <t xml:space="preserve">Kelompok</t>
  </si>
  <si>
    <t xml:space="preserve">Riðill</t>
  </si>
  <si>
    <t xml:space="preserve">Gruppo</t>
  </si>
  <si>
    <t xml:space="preserve">그룹</t>
  </si>
  <si>
    <t xml:space="preserve">Grupė</t>
  </si>
  <si>
    <t xml:space="preserve">Grupp</t>
  </si>
  <si>
    <t xml:space="preserve">گروه</t>
  </si>
  <si>
    <t xml:space="preserve">Grupo</t>
  </si>
  <si>
    <t xml:space="preserve">Группа</t>
  </si>
  <si>
    <t xml:space="preserve">สาย</t>
  </si>
  <si>
    <t xml:space="preserve">Bảng</t>
  </si>
  <si>
    <t xml:space="preserve">Гуруҳ</t>
  </si>
  <si>
    <t xml:space="preserve">PL</t>
  </si>
  <si>
    <t xml:space="preserve">L</t>
  </si>
  <si>
    <t xml:space="preserve">لعب</t>
  </si>
  <si>
    <t xml:space="preserve">Խ</t>
  </si>
  <si>
    <t xml:space="preserve">O</t>
  </si>
  <si>
    <t xml:space="preserve">М</t>
  </si>
  <si>
    <t xml:space="preserve">J</t>
  </si>
  <si>
    <t xml:space="preserve">场次</t>
  </si>
  <si>
    <t xml:space="preserve">賽</t>
  </si>
  <si>
    <t xml:space="preserve">Z</t>
  </si>
  <si>
    <t xml:space="preserve">SP</t>
  </si>
  <si>
    <t xml:space="preserve">WG</t>
  </si>
  <si>
    <t xml:space="preserve">თ</t>
  </si>
  <si>
    <t xml:space="preserve">ΑΓ</t>
  </si>
  <si>
    <t xml:space="preserve">משחקים</t>
  </si>
  <si>
    <t xml:space="preserve">M</t>
  </si>
  <si>
    <t xml:space="preserve">Main</t>
  </si>
  <si>
    <t xml:space="preserve">G</t>
  </si>
  <si>
    <t xml:space="preserve">경기</t>
  </si>
  <si>
    <t xml:space="preserve">Žst</t>
  </si>
  <si>
    <t xml:space="preserve">О</t>
  </si>
  <si>
    <t xml:space="preserve">S</t>
  </si>
  <si>
    <t xml:space="preserve">بازی</t>
  </si>
  <si>
    <t xml:space="preserve">И</t>
  </si>
  <si>
    <t xml:space="preserve">UT</t>
  </si>
  <si>
    <t xml:space="preserve">Sp</t>
  </si>
  <si>
    <t xml:space="preserve">แข่ง</t>
  </si>
  <si>
    <t xml:space="preserve">Trận</t>
  </si>
  <si>
    <t xml:space="preserve">І</t>
  </si>
  <si>
    <t xml:space="preserve">کھیلے گئے مقابلے</t>
  </si>
  <si>
    <t xml:space="preserve">Ў</t>
  </si>
  <si>
    <t xml:space="preserve">W</t>
  </si>
  <si>
    <t xml:space="preserve">F</t>
  </si>
  <si>
    <t xml:space="preserve">فاز</t>
  </si>
  <si>
    <t xml:space="preserve">Հ</t>
  </si>
  <si>
    <t xml:space="preserve">Q</t>
  </si>
  <si>
    <t xml:space="preserve">П</t>
  </si>
  <si>
    <t xml:space="preserve">胜</t>
  </si>
  <si>
    <t xml:space="preserve">勝</t>
  </si>
  <si>
    <t xml:space="preserve">V</t>
  </si>
  <si>
    <t xml:space="preserve">მოგ</t>
  </si>
  <si>
    <t xml:space="preserve">Ν</t>
  </si>
  <si>
    <t xml:space="preserve">נצחונות</t>
  </si>
  <si>
    <t xml:space="preserve">GY</t>
  </si>
  <si>
    <t xml:space="preserve">Menang</t>
  </si>
  <si>
    <t xml:space="preserve">U</t>
  </si>
  <si>
    <t xml:space="preserve">승</t>
  </si>
  <si>
    <t xml:space="preserve">R</t>
  </si>
  <si>
    <t xml:space="preserve">برد</t>
  </si>
  <si>
    <t xml:space="preserve">В</t>
  </si>
  <si>
    <t xml:space="preserve">P</t>
  </si>
  <si>
    <t xml:space="preserve">ชนะ</t>
  </si>
  <si>
    <t xml:space="preserve">T</t>
  </si>
  <si>
    <t xml:space="preserve">جیت</t>
  </si>
  <si>
    <t xml:space="preserve">Ю</t>
  </si>
  <si>
    <t xml:space="preserve">DRAW</t>
  </si>
  <si>
    <t xml:space="preserve">BAR</t>
  </si>
  <si>
    <t xml:space="preserve">تعادل</t>
  </si>
  <si>
    <t xml:space="preserve">Ո</t>
  </si>
  <si>
    <t xml:space="preserve">H</t>
  </si>
  <si>
    <t xml:space="preserve">Р</t>
  </si>
  <si>
    <t xml:space="preserve">E</t>
  </si>
  <si>
    <t xml:space="preserve">平</t>
  </si>
  <si>
    <t xml:space="preserve">和</t>
  </si>
  <si>
    <t xml:space="preserve">Uafgjort</t>
  </si>
  <si>
    <t xml:space="preserve">ფრე</t>
  </si>
  <si>
    <t xml:space="preserve">Ι</t>
  </si>
  <si>
    <t xml:space="preserve">תיקו</t>
  </si>
  <si>
    <t xml:space="preserve">D</t>
  </si>
  <si>
    <t xml:space="preserve">Seri</t>
  </si>
  <si>
    <t xml:space="preserve">Jafnt</t>
  </si>
  <si>
    <t xml:space="preserve">무</t>
  </si>
  <si>
    <t xml:space="preserve">Lyg</t>
  </si>
  <si>
    <t xml:space="preserve">Н</t>
  </si>
  <si>
    <t xml:space="preserve">I</t>
  </si>
  <si>
    <t xml:space="preserve">مساوی</t>
  </si>
  <si>
    <t xml:space="preserve">NER.</t>
  </si>
  <si>
    <t xml:space="preserve">เสมอ</t>
  </si>
  <si>
    <t xml:space="preserve">B</t>
  </si>
  <si>
    <t xml:space="preserve">برابر</t>
  </si>
  <si>
    <t xml:space="preserve">Д</t>
  </si>
  <si>
    <t xml:space="preserve">خسر</t>
  </si>
  <si>
    <t xml:space="preserve">Պ</t>
  </si>
  <si>
    <t xml:space="preserve">З</t>
  </si>
  <si>
    <t xml:space="preserve">负</t>
  </si>
  <si>
    <t xml:space="preserve">負</t>
  </si>
  <si>
    <t xml:space="preserve">წაგ</t>
  </si>
  <si>
    <t xml:space="preserve">N</t>
  </si>
  <si>
    <t xml:space="preserve">Η </t>
  </si>
  <si>
    <t xml:space="preserve">הפסדים</t>
  </si>
  <si>
    <t xml:space="preserve">Kalah</t>
  </si>
  <si>
    <t xml:space="preserve">패</t>
  </si>
  <si>
    <t xml:space="preserve">باخت</t>
  </si>
  <si>
    <t xml:space="preserve">แพ้</t>
  </si>
  <si>
    <t xml:space="preserve">ہارے گئے مقابلے</t>
  </si>
  <si>
    <t xml:space="preserve">GF - GA</t>
  </si>
  <si>
    <t xml:space="preserve">GSH-GP</t>
  </si>
  <si>
    <r>
      <rPr>
        <sz val="11"/>
        <color rgb="FF000000"/>
        <rFont val="Noto Sans Devanagari"/>
        <family val="2"/>
        <charset val="1"/>
      </rPr>
      <t xml:space="preserve">عليه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له</t>
    </r>
  </si>
  <si>
    <t xml:space="preserve">ԽԳ-ԲԳ</t>
  </si>
  <si>
    <t xml:space="preserve">QV - QB</t>
  </si>
  <si>
    <t xml:space="preserve">Гол. Разл.</t>
  </si>
  <si>
    <t xml:space="preserve">GF - GC</t>
  </si>
  <si>
    <t xml:space="preserve">得失球</t>
  </si>
  <si>
    <r>
      <rPr>
        <sz val="11"/>
        <color rgb="FF000000"/>
        <rFont val="Droid Sans Fallback"/>
        <family val="2"/>
        <charset val="1"/>
      </rPr>
      <t xml:space="preserve">得球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Droid Sans Fallback"/>
        <family val="2"/>
        <charset val="1"/>
      </rPr>
      <t xml:space="preserve">失球</t>
    </r>
  </si>
  <si>
    <t xml:space="preserve">GV - GI</t>
  </si>
  <si>
    <t xml:space="preserve">MF - MI</t>
  </si>
  <si>
    <t xml:space="preserve">DV-DT</t>
  </si>
  <si>
    <t xml:space="preserve">BP - BC</t>
  </si>
  <si>
    <t xml:space="preserve">გგ - მგ</t>
  </si>
  <si>
    <t xml:space="preserve">ET - KT</t>
  </si>
  <si>
    <t xml:space="preserve">Υ-Κ</t>
  </si>
  <si>
    <t xml:space="preserve">יחס שערים</t>
  </si>
  <si>
    <t xml:space="preserve">Gólkül.</t>
  </si>
  <si>
    <t xml:space="preserve">Skor </t>
  </si>
  <si>
    <t xml:space="preserve">S - F</t>
  </si>
  <si>
    <t xml:space="preserve">GF - GS</t>
  </si>
  <si>
    <t xml:space="preserve">골득실</t>
  </si>
  <si>
    <t xml:space="preserve">Įm - Pr</t>
  </si>
  <si>
    <t xml:space="preserve">Разлика</t>
  </si>
  <si>
    <t xml:space="preserve">GF - GK</t>
  </si>
  <si>
    <t xml:space="preserve">Mål</t>
  </si>
  <si>
    <r>
      <rPr>
        <sz val="11"/>
        <color rgb="FF000000"/>
        <rFont val="Noto Sans Devanagari"/>
        <family val="2"/>
        <charset val="1"/>
      </rPr>
      <t xml:space="preserve">خورده</t>
    </r>
    <r>
      <rPr>
        <sz val="11"/>
        <color rgb="FF000000"/>
        <rFont val="Calibri"/>
        <family val="2"/>
        <charset val="1"/>
      </rPr>
      <t xml:space="preserve">-</t>
    </r>
    <r>
      <rPr>
        <sz val="11"/>
        <color rgb="FF000000"/>
        <rFont val="Noto Sans Devanagari"/>
        <family val="2"/>
        <charset val="1"/>
      </rPr>
      <t xml:space="preserve">زده</t>
    </r>
  </si>
  <si>
    <t xml:space="preserve">Z - S</t>
  </si>
  <si>
    <t xml:space="preserve">GM - GS</t>
  </si>
  <si>
    <t xml:space="preserve">GM - GP</t>
  </si>
  <si>
    <t xml:space="preserve">З - П</t>
  </si>
  <si>
    <t xml:space="preserve">GD - GP</t>
  </si>
  <si>
    <t xml:space="preserve">GS-GI</t>
  </si>
  <si>
    <t xml:space="preserve">GM – IM</t>
  </si>
  <si>
    <r>
      <rPr>
        <sz val="11"/>
        <color rgb="FF000000"/>
        <rFont val="Noto Sans Devanagari"/>
        <family val="2"/>
        <charset val="1"/>
      </rPr>
      <t xml:space="preserve">ได้ 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เสีย</t>
    </r>
  </si>
  <si>
    <t xml:space="preserve">A - Y</t>
  </si>
  <si>
    <t xml:space="preserve">Hiệu số</t>
  </si>
  <si>
    <t xml:space="preserve">М </t>
  </si>
  <si>
    <r>
      <rPr>
        <sz val="11"/>
        <color rgb="FF000000"/>
        <rFont val="Noto Sans Devanagari"/>
        <family val="2"/>
        <charset val="1"/>
      </rPr>
      <t xml:space="preserve">گول کئے</t>
    </r>
    <r>
      <rPr>
        <sz val="11"/>
        <color rgb="FF000000"/>
        <rFont val="Calibri"/>
        <family val="2"/>
        <charset val="1"/>
      </rPr>
      <t xml:space="preserve">- </t>
    </r>
    <r>
      <rPr>
        <sz val="11"/>
        <color rgb="FF000000"/>
        <rFont val="Noto Sans Devanagari"/>
        <family val="2"/>
        <charset val="1"/>
      </rPr>
      <t xml:space="preserve">انکے خلاف گول کئے گئے</t>
    </r>
  </si>
  <si>
    <t xml:space="preserve">КиритГол-ЎткГол</t>
  </si>
  <si>
    <t xml:space="preserve">PNT</t>
  </si>
  <si>
    <t xml:space="preserve">PIK</t>
  </si>
  <si>
    <t xml:space="preserve">النقاط</t>
  </si>
  <si>
    <t xml:space="preserve">Մ</t>
  </si>
  <si>
    <t xml:space="preserve">Xal</t>
  </si>
  <si>
    <t xml:space="preserve">Т</t>
  </si>
  <si>
    <t xml:space="preserve">Punts</t>
  </si>
  <si>
    <t xml:space="preserve">积分</t>
  </si>
  <si>
    <t xml:space="preserve">分數</t>
  </si>
  <si>
    <t xml:space="preserve">Body</t>
  </si>
  <si>
    <t xml:space="preserve">PTS</t>
  </si>
  <si>
    <t xml:space="preserve">ქულა</t>
  </si>
  <si>
    <t xml:space="preserve">PKT</t>
  </si>
  <si>
    <t xml:space="preserve">ΒΘ</t>
  </si>
  <si>
    <t xml:space="preserve">נקודות</t>
  </si>
  <si>
    <t xml:space="preserve">Nilai</t>
  </si>
  <si>
    <t xml:space="preserve">Stig</t>
  </si>
  <si>
    <t xml:space="preserve">Punti</t>
  </si>
  <si>
    <t xml:space="preserve">승점</t>
  </si>
  <si>
    <t xml:space="preserve">Tšk</t>
  </si>
  <si>
    <t xml:space="preserve">Б</t>
  </si>
  <si>
    <t xml:space="preserve">امتیاز</t>
  </si>
  <si>
    <t xml:space="preserve">Pkt</t>
  </si>
  <si>
    <t xml:space="preserve">ОЧКИ</t>
  </si>
  <si>
    <t xml:space="preserve">BOD</t>
  </si>
  <si>
    <t xml:space="preserve">คะแนน</t>
  </si>
  <si>
    <t xml:space="preserve">Điểm</t>
  </si>
  <si>
    <t xml:space="preserve">نشان</t>
  </si>
  <si>
    <t xml:space="preserve">Очколар</t>
  </si>
  <si>
    <t xml:space="preserve">Sun</t>
  </si>
  <si>
    <t xml:space="preserve">Diel</t>
  </si>
  <si>
    <t xml:space="preserve">الأحد</t>
  </si>
  <si>
    <t xml:space="preserve">Կիր.</t>
  </si>
  <si>
    <t xml:space="preserve">Нед</t>
  </si>
  <si>
    <t xml:space="preserve">Diu</t>
  </si>
  <si>
    <t xml:space="preserve">周日</t>
  </si>
  <si>
    <t xml:space="preserve">Ned</t>
  </si>
  <si>
    <t xml:space="preserve">Ne</t>
  </si>
  <si>
    <t xml:space="preserve">Søn</t>
  </si>
  <si>
    <t xml:space="preserve">Zo</t>
  </si>
  <si>
    <t xml:space="preserve">კვირა</t>
  </si>
  <si>
    <t xml:space="preserve">Κυρ</t>
  </si>
  <si>
    <t xml:space="preserve">ראשון</t>
  </si>
  <si>
    <t xml:space="preserve">Vas</t>
  </si>
  <si>
    <t xml:space="preserve">Min</t>
  </si>
  <si>
    <t xml:space="preserve">Dom</t>
  </si>
  <si>
    <t xml:space="preserve">일</t>
  </si>
  <si>
    <t xml:space="preserve">Sekm</t>
  </si>
  <si>
    <t xml:space="preserve">Ħad</t>
  </si>
  <si>
    <t xml:space="preserve">یکشنبه</t>
  </si>
  <si>
    <t xml:space="preserve">Nd</t>
  </si>
  <si>
    <t xml:space="preserve">Dum</t>
  </si>
  <si>
    <t xml:space="preserve">Вс</t>
  </si>
  <si>
    <t xml:space="preserve">Sön</t>
  </si>
  <si>
    <t xml:space="preserve">อาทิตย์</t>
  </si>
  <si>
    <t xml:space="preserve">Paz</t>
  </si>
  <si>
    <t xml:space="preserve">CN</t>
  </si>
  <si>
    <t xml:space="preserve">Нд</t>
  </si>
  <si>
    <t xml:space="preserve">اتوار</t>
  </si>
  <si>
    <t xml:space="preserve">Якш</t>
  </si>
  <si>
    <t xml:space="preserve">Mon</t>
  </si>
  <si>
    <t xml:space="preserve">Hënë</t>
  </si>
  <si>
    <t xml:space="preserve">الاثنين</t>
  </si>
  <si>
    <t xml:space="preserve">Երկ.</t>
  </si>
  <si>
    <t xml:space="preserve">BE</t>
  </si>
  <si>
    <t xml:space="preserve">Пон</t>
  </si>
  <si>
    <t xml:space="preserve">Dil</t>
  </si>
  <si>
    <t xml:space="preserve">周一</t>
  </si>
  <si>
    <t xml:space="preserve">Pon</t>
  </si>
  <si>
    <t xml:space="preserve">Po</t>
  </si>
  <si>
    <t xml:space="preserve">Man</t>
  </si>
  <si>
    <t xml:space="preserve">Ma</t>
  </si>
  <si>
    <t xml:space="preserve">ორშ</t>
  </si>
  <si>
    <t xml:space="preserve">Δευ</t>
  </si>
  <si>
    <t xml:space="preserve">שני</t>
  </si>
  <si>
    <t xml:space="preserve">Hét</t>
  </si>
  <si>
    <t xml:space="preserve">Sen</t>
  </si>
  <si>
    <t xml:space="preserve">Mán</t>
  </si>
  <si>
    <t xml:space="preserve">Lun</t>
  </si>
  <si>
    <t xml:space="preserve">월</t>
  </si>
  <si>
    <t xml:space="preserve">Pirm</t>
  </si>
  <si>
    <t xml:space="preserve">Tne</t>
  </si>
  <si>
    <t xml:space="preserve">دوشنبه</t>
  </si>
  <si>
    <t xml:space="preserve">Pn</t>
  </si>
  <si>
    <t xml:space="preserve">Seg</t>
  </si>
  <si>
    <t xml:space="preserve">Пн</t>
  </si>
  <si>
    <t xml:space="preserve">Mån</t>
  </si>
  <si>
    <t xml:space="preserve">จันทร์</t>
  </si>
  <si>
    <t xml:space="preserve">Pzt</t>
  </si>
  <si>
    <t xml:space="preserve">T2</t>
  </si>
  <si>
    <t xml:space="preserve">پیر</t>
  </si>
  <si>
    <t xml:space="preserve">Душ</t>
  </si>
  <si>
    <t xml:space="preserve">Tue</t>
  </si>
  <si>
    <t xml:space="preserve">Mar</t>
  </si>
  <si>
    <t xml:space="preserve">الثلاثاء</t>
  </si>
  <si>
    <t xml:space="preserve">Երեք.</t>
  </si>
  <si>
    <t xml:space="preserve">ÇA</t>
  </si>
  <si>
    <t xml:space="preserve">Вт</t>
  </si>
  <si>
    <t xml:space="preserve">Dim</t>
  </si>
  <si>
    <t xml:space="preserve">周二</t>
  </si>
  <si>
    <t xml:space="preserve">Uto</t>
  </si>
  <si>
    <t xml:space="preserve">Út</t>
  </si>
  <si>
    <t xml:space="preserve">Tir</t>
  </si>
  <si>
    <t xml:space="preserve">Di</t>
  </si>
  <si>
    <t xml:space="preserve">სამშ</t>
  </si>
  <si>
    <t xml:space="preserve">Τρι</t>
  </si>
  <si>
    <t xml:space="preserve">שלישי</t>
  </si>
  <si>
    <t xml:space="preserve">Ke</t>
  </si>
  <si>
    <t xml:space="preserve">Sel</t>
  </si>
  <si>
    <t xml:space="preserve">Þri</t>
  </si>
  <si>
    <t xml:space="preserve">화</t>
  </si>
  <si>
    <t xml:space="preserve">Antr</t>
  </si>
  <si>
    <t xml:space="preserve">Вто</t>
  </si>
  <si>
    <t xml:space="preserve">Tli</t>
  </si>
  <si>
    <t xml:space="preserve">Tirs</t>
  </si>
  <si>
    <t xml:space="preserve">سه شنبه</t>
  </si>
  <si>
    <t xml:space="preserve">Wt</t>
  </si>
  <si>
    <t xml:space="preserve">Ter</t>
  </si>
  <si>
    <t xml:space="preserve">Ut</t>
  </si>
  <si>
    <t xml:space="preserve">Tor</t>
  </si>
  <si>
    <t xml:space="preserve">Tis</t>
  </si>
  <si>
    <t xml:space="preserve">อังคาร</t>
  </si>
  <si>
    <t xml:space="preserve">Sal</t>
  </si>
  <si>
    <t xml:space="preserve">T3</t>
  </si>
  <si>
    <t xml:space="preserve">منگل</t>
  </si>
  <si>
    <t xml:space="preserve">Сеш</t>
  </si>
  <si>
    <t xml:space="preserve">Wed</t>
  </si>
  <si>
    <t xml:space="preserve">Mër</t>
  </si>
  <si>
    <t xml:space="preserve">الأربعاء</t>
  </si>
  <si>
    <t xml:space="preserve">Չոր.</t>
  </si>
  <si>
    <t xml:space="preserve">Ç</t>
  </si>
  <si>
    <t xml:space="preserve">Сря</t>
  </si>
  <si>
    <t xml:space="preserve">Dix</t>
  </si>
  <si>
    <t xml:space="preserve">周三</t>
  </si>
  <si>
    <t xml:space="preserve">Sri</t>
  </si>
  <si>
    <t xml:space="preserve">St</t>
  </si>
  <si>
    <t xml:space="preserve">Ons</t>
  </si>
  <si>
    <t xml:space="preserve">Wo</t>
  </si>
  <si>
    <t xml:space="preserve">ოთხშ</t>
  </si>
  <si>
    <t xml:space="preserve">Τετ</t>
  </si>
  <si>
    <t xml:space="preserve">רביעי</t>
  </si>
  <si>
    <t xml:space="preserve">Sze</t>
  </si>
  <si>
    <t xml:space="preserve">Rab</t>
  </si>
  <si>
    <t xml:space="preserve">Mið</t>
  </si>
  <si>
    <t xml:space="preserve">Mer</t>
  </si>
  <si>
    <t xml:space="preserve">수</t>
  </si>
  <si>
    <t xml:space="preserve">Treč</t>
  </si>
  <si>
    <t xml:space="preserve">Сре</t>
  </si>
  <si>
    <t xml:space="preserve">Erb</t>
  </si>
  <si>
    <t xml:space="preserve">چهارشنبه</t>
  </si>
  <si>
    <t xml:space="preserve">Śr</t>
  </si>
  <si>
    <t xml:space="preserve">Qua</t>
  </si>
  <si>
    <t xml:space="preserve">Mie</t>
  </si>
  <si>
    <t xml:space="preserve">Ср</t>
  </si>
  <si>
    <t xml:space="preserve">Sre</t>
  </si>
  <si>
    <t xml:space="preserve">พุธ</t>
  </si>
  <si>
    <t xml:space="preserve">Çar</t>
  </si>
  <si>
    <t xml:space="preserve">T4</t>
  </si>
  <si>
    <t xml:space="preserve">بدھ</t>
  </si>
  <si>
    <t xml:space="preserve">Чор</t>
  </si>
  <si>
    <t xml:space="preserve">Thu</t>
  </si>
  <si>
    <t xml:space="preserve">Enjt</t>
  </si>
  <si>
    <t xml:space="preserve">الخميس</t>
  </si>
  <si>
    <t xml:space="preserve">Հինգ.</t>
  </si>
  <si>
    <t xml:space="preserve">CA</t>
  </si>
  <si>
    <t xml:space="preserve">Четв</t>
  </si>
  <si>
    <t xml:space="preserve">Dij</t>
  </si>
  <si>
    <t xml:space="preserve">周四</t>
  </si>
  <si>
    <t xml:space="preserve">Čet</t>
  </si>
  <si>
    <t xml:space="preserve">Čt</t>
  </si>
  <si>
    <t xml:space="preserve">Do</t>
  </si>
  <si>
    <t xml:space="preserve">ხუთშ</t>
  </si>
  <si>
    <t xml:space="preserve">Πεμ</t>
  </si>
  <si>
    <t xml:space="preserve">חמישי</t>
  </si>
  <si>
    <t xml:space="preserve">Csü</t>
  </si>
  <si>
    <t xml:space="preserve">Kam</t>
  </si>
  <si>
    <t xml:space="preserve">Fim</t>
  </si>
  <si>
    <t xml:space="preserve">Gio</t>
  </si>
  <si>
    <t xml:space="preserve">목</t>
  </si>
  <si>
    <t xml:space="preserve">Ketv</t>
  </si>
  <si>
    <t xml:space="preserve">Чет</t>
  </si>
  <si>
    <t xml:space="preserve">Ħam</t>
  </si>
  <si>
    <t xml:space="preserve">Tors</t>
  </si>
  <si>
    <t xml:space="preserve">پنجشنبه</t>
  </si>
  <si>
    <t xml:space="preserve">Cz</t>
  </si>
  <si>
    <t xml:space="preserve">Qui</t>
  </si>
  <si>
    <t xml:space="preserve">Joi</t>
  </si>
  <si>
    <t xml:space="preserve">Чт</t>
  </si>
  <si>
    <t xml:space="preserve">Št</t>
  </si>
  <si>
    <t xml:space="preserve">พฤหัส</t>
  </si>
  <si>
    <t xml:space="preserve">Per</t>
  </si>
  <si>
    <t xml:space="preserve">T5</t>
  </si>
  <si>
    <t xml:space="preserve">جمعرات</t>
  </si>
  <si>
    <t xml:space="preserve">Пай</t>
  </si>
  <si>
    <t xml:space="preserve">Fri</t>
  </si>
  <si>
    <t xml:space="preserve">Pre</t>
  </si>
  <si>
    <t xml:space="preserve">الجمعة</t>
  </si>
  <si>
    <t xml:space="preserve">Ուրբ.</t>
  </si>
  <si>
    <t xml:space="preserve">C</t>
  </si>
  <si>
    <t xml:space="preserve">Пет</t>
  </si>
  <si>
    <t xml:space="preserve">Div</t>
  </si>
  <si>
    <t xml:space="preserve">周五</t>
  </si>
  <si>
    <t xml:space="preserve">Pet</t>
  </si>
  <si>
    <t xml:space="preserve">Pá</t>
  </si>
  <si>
    <t xml:space="preserve">Fre</t>
  </si>
  <si>
    <t xml:space="preserve">Vr</t>
  </si>
  <si>
    <t xml:space="preserve">პარ</t>
  </si>
  <si>
    <t xml:space="preserve">Παρ</t>
  </si>
  <si>
    <t xml:space="preserve">שישי</t>
  </si>
  <si>
    <t xml:space="preserve">Pé</t>
  </si>
  <si>
    <t xml:space="preserve">Jum</t>
  </si>
  <si>
    <t xml:space="preserve">Fös</t>
  </si>
  <si>
    <t xml:space="preserve">Ven</t>
  </si>
  <si>
    <t xml:space="preserve">금</t>
  </si>
  <si>
    <t xml:space="preserve">Penk</t>
  </si>
  <si>
    <t xml:space="preserve">Ġim</t>
  </si>
  <si>
    <t xml:space="preserve">جمعه</t>
  </si>
  <si>
    <t xml:space="preserve">Pt</t>
  </si>
  <si>
    <t xml:space="preserve">Sex</t>
  </si>
  <si>
    <t xml:space="preserve">Vin</t>
  </si>
  <si>
    <t xml:space="preserve">Пт</t>
  </si>
  <si>
    <t xml:space="preserve">Pi</t>
  </si>
  <si>
    <t xml:space="preserve">ศุกร์</t>
  </si>
  <si>
    <t xml:space="preserve">Cum</t>
  </si>
  <si>
    <t xml:space="preserve">T6</t>
  </si>
  <si>
    <t xml:space="preserve">جمعہ</t>
  </si>
  <si>
    <t xml:space="preserve">Жума</t>
  </si>
  <si>
    <t xml:space="preserve">Sat</t>
  </si>
  <si>
    <t xml:space="preserve">Sht</t>
  </si>
  <si>
    <t xml:space="preserve">السبت</t>
  </si>
  <si>
    <t xml:space="preserve">Շաբ.</t>
  </si>
  <si>
    <t xml:space="preserve">Ş</t>
  </si>
  <si>
    <t xml:space="preserve">Съб</t>
  </si>
  <si>
    <t xml:space="preserve">Dis</t>
  </si>
  <si>
    <t xml:space="preserve">周六</t>
  </si>
  <si>
    <t xml:space="preserve">Sub</t>
  </si>
  <si>
    <t xml:space="preserve">So</t>
  </si>
  <si>
    <t xml:space="preserve">Lør</t>
  </si>
  <si>
    <t xml:space="preserve">Za</t>
  </si>
  <si>
    <t xml:space="preserve">შაბ</t>
  </si>
  <si>
    <t xml:space="preserve">Σαβ</t>
  </si>
  <si>
    <t xml:space="preserve">שבת</t>
  </si>
  <si>
    <t xml:space="preserve">Szo</t>
  </si>
  <si>
    <t xml:space="preserve">Sab</t>
  </si>
  <si>
    <t xml:space="preserve">Lau</t>
  </si>
  <si>
    <t xml:space="preserve">토</t>
  </si>
  <si>
    <t xml:space="preserve">Šešt</t>
  </si>
  <si>
    <t xml:space="preserve">Саб</t>
  </si>
  <si>
    <t xml:space="preserve">Sib</t>
  </si>
  <si>
    <t xml:space="preserve">شنبه</t>
  </si>
  <si>
    <t xml:space="preserve">Sam</t>
  </si>
  <si>
    <t xml:space="preserve">Сб</t>
  </si>
  <si>
    <t xml:space="preserve">Sob</t>
  </si>
  <si>
    <t xml:space="preserve">Lör</t>
  </si>
  <si>
    <t xml:space="preserve">เสาร์</t>
  </si>
  <si>
    <t xml:space="preserve">Cmt</t>
  </si>
  <si>
    <t xml:space="preserve">T7</t>
  </si>
  <si>
    <t xml:space="preserve">سنیچر</t>
  </si>
  <si>
    <t xml:space="preserve">Шанба</t>
  </si>
  <si>
    <t xml:space="preserve">Jan</t>
  </si>
  <si>
    <t xml:space="preserve">كانون ثاني</t>
  </si>
  <si>
    <t xml:space="preserve">Հունվ.</t>
  </si>
  <si>
    <t xml:space="preserve">Yan</t>
  </si>
  <si>
    <t xml:space="preserve">Януари</t>
  </si>
  <si>
    <t xml:space="preserve">Gen</t>
  </si>
  <si>
    <t xml:space="preserve">一月</t>
  </si>
  <si>
    <t xml:space="preserve">Sij</t>
  </si>
  <si>
    <t xml:space="preserve">Janv</t>
  </si>
  <si>
    <t xml:space="preserve">იან</t>
  </si>
  <si>
    <t xml:space="preserve">Ιαν</t>
  </si>
  <si>
    <t xml:space="preserve">ינואר</t>
  </si>
  <si>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</si>
  <si>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Saus</t>
  </si>
  <si>
    <t xml:space="preserve">Јан</t>
  </si>
  <si>
    <t xml:space="preserve">زانویه</t>
  </si>
  <si>
    <t xml:space="preserve">Sty</t>
  </si>
  <si>
    <t xml:space="preserve">Ian</t>
  </si>
  <si>
    <t xml:space="preserve">Янв</t>
  </si>
  <si>
    <t xml:space="preserve">Ene</t>
  </si>
  <si>
    <t xml:space="preserve">jan</t>
  </si>
  <si>
    <t xml:space="preserve">มกราคม</t>
  </si>
  <si>
    <t xml:space="preserve">Oca</t>
  </si>
  <si>
    <t xml:space="preserve">Tháng 1</t>
  </si>
  <si>
    <t xml:space="preserve">Січ</t>
  </si>
  <si>
    <t xml:space="preserve">جنوری</t>
  </si>
  <si>
    <t xml:space="preserve">Feb</t>
  </si>
  <si>
    <t xml:space="preserve">Shk</t>
  </si>
  <si>
    <t xml:space="preserve">شباط</t>
  </si>
  <si>
    <t xml:space="preserve">Փետր.</t>
  </si>
  <si>
    <t xml:space="preserve">Fev</t>
  </si>
  <si>
    <t xml:space="preserve">Февруари</t>
  </si>
  <si>
    <t xml:space="preserve">二月</t>
  </si>
  <si>
    <t xml:space="preserve">Vel</t>
  </si>
  <si>
    <t xml:space="preserve">Févr</t>
  </si>
  <si>
    <t xml:space="preserve">თებ</t>
  </si>
  <si>
    <t xml:space="preserve">Φεβ</t>
  </si>
  <si>
    <t xml:space="preserve">פברואר</t>
  </si>
  <si>
    <t xml:space="preserve">Peb</t>
  </si>
  <si>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</si>
  <si>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Фев</t>
  </si>
  <si>
    <t xml:space="preserve">Fra</t>
  </si>
  <si>
    <t xml:space="preserve">فوریه</t>
  </si>
  <si>
    <t xml:space="preserve">Lut</t>
  </si>
  <si>
    <t xml:space="preserve">กุมภาพันธ์</t>
  </si>
  <si>
    <t xml:space="preserve">Şub</t>
  </si>
  <si>
    <t xml:space="preserve">Tháng 2</t>
  </si>
  <si>
    <t xml:space="preserve">Лют</t>
  </si>
  <si>
    <t xml:space="preserve">فروری</t>
  </si>
  <si>
    <t xml:space="preserve">آذار</t>
  </si>
  <si>
    <t xml:space="preserve">Մարտ</t>
  </si>
  <si>
    <t xml:space="preserve">Март</t>
  </si>
  <si>
    <t xml:space="preserve">三月</t>
  </si>
  <si>
    <t xml:space="preserve">Ožu</t>
  </si>
  <si>
    <t xml:space="preserve">Mrt</t>
  </si>
  <si>
    <t xml:space="preserve">Mars</t>
  </si>
  <si>
    <t xml:space="preserve">მარ</t>
  </si>
  <si>
    <t xml:space="preserve">Mrz</t>
  </si>
  <si>
    <t xml:space="preserve">Μαρ</t>
  </si>
  <si>
    <t xml:space="preserve">מרץ</t>
  </si>
  <si>
    <t xml:space="preserve">Már</t>
  </si>
  <si>
    <r>
      <rPr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</si>
  <si>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Kov</t>
  </si>
  <si>
    <t xml:space="preserve">Мар</t>
  </si>
  <si>
    <t xml:space="preserve">مارس</t>
  </si>
  <si>
    <t xml:space="preserve">mar</t>
  </si>
  <si>
    <t xml:space="preserve">มีนาคม</t>
  </si>
  <si>
    <t xml:space="preserve">Tháng 3</t>
  </si>
  <si>
    <t xml:space="preserve">Бер</t>
  </si>
  <si>
    <t xml:space="preserve">مارچ</t>
  </si>
  <si>
    <t xml:space="preserve">Apr</t>
  </si>
  <si>
    <t xml:space="preserve">Pri</t>
  </si>
  <si>
    <t xml:space="preserve">نيسان</t>
  </si>
  <si>
    <t xml:space="preserve">Ապրիլ</t>
  </si>
  <si>
    <t xml:space="preserve">Април</t>
  </si>
  <si>
    <t xml:space="preserve">Abr</t>
  </si>
  <si>
    <t xml:space="preserve">四月</t>
  </si>
  <si>
    <t xml:space="preserve">Tra</t>
  </si>
  <si>
    <t xml:space="preserve">Avr</t>
  </si>
  <si>
    <t xml:space="preserve">აპრ</t>
  </si>
  <si>
    <t xml:space="preserve">Απρ</t>
  </si>
  <si>
    <t xml:space="preserve">אפריל</t>
  </si>
  <si>
    <t xml:space="preserve">Ápr</t>
  </si>
  <si>
    <r>
      <rPr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</si>
  <si>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Bal</t>
  </si>
  <si>
    <t xml:space="preserve">Апр</t>
  </si>
  <si>
    <t xml:space="preserve">آوریل</t>
  </si>
  <si>
    <t xml:space="preserve">Kwi</t>
  </si>
  <si>
    <t xml:space="preserve">apr</t>
  </si>
  <si>
    <t xml:space="preserve">เมษายน</t>
  </si>
  <si>
    <t xml:space="preserve">Nis</t>
  </si>
  <si>
    <t xml:space="preserve">Tháng 4</t>
  </si>
  <si>
    <t xml:space="preserve">Квіт</t>
  </si>
  <si>
    <t xml:space="preserve">اپریل</t>
  </si>
  <si>
    <t xml:space="preserve">May</t>
  </si>
  <si>
    <t xml:space="preserve">Maj</t>
  </si>
  <si>
    <t xml:space="preserve">أياد</t>
  </si>
  <si>
    <t xml:space="preserve">Մայիս</t>
  </si>
  <si>
    <t xml:space="preserve">Май</t>
  </si>
  <si>
    <t xml:space="preserve">Mai</t>
  </si>
  <si>
    <t xml:space="preserve">五月</t>
  </si>
  <si>
    <t xml:space="preserve">Svi</t>
  </si>
  <si>
    <t xml:space="preserve">Mei</t>
  </si>
  <si>
    <t xml:space="preserve">მაი</t>
  </si>
  <si>
    <t xml:space="preserve">Μαϊ</t>
  </si>
  <si>
    <t xml:space="preserve">מאי</t>
  </si>
  <si>
    <t xml:space="preserve">Máj</t>
  </si>
  <si>
    <t xml:space="preserve">Maí</t>
  </si>
  <si>
    <t xml:space="preserve">Mag</t>
  </si>
  <si>
    <r>
      <rPr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</si>
  <si>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Geg</t>
  </si>
  <si>
    <t xml:space="preserve">Мај</t>
  </si>
  <si>
    <t xml:space="preserve">Mej</t>
  </si>
  <si>
    <t xml:space="preserve">می</t>
  </si>
  <si>
    <t xml:space="preserve">maj</t>
  </si>
  <si>
    <t xml:space="preserve">พฤษภาคม</t>
  </si>
  <si>
    <t xml:space="preserve">Tháng 5</t>
  </si>
  <si>
    <t xml:space="preserve">Трав</t>
  </si>
  <si>
    <t xml:space="preserve">مئی</t>
  </si>
  <si>
    <t xml:space="preserve">Jun</t>
  </si>
  <si>
    <t xml:space="preserve">Qer</t>
  </si>
  <si>
    <t xml:space="preserve">حزيران</t>
  </si>
  <si>
    <t xml:space="preserve">Հունիս</t>
  </si>
  <si>
    <t xml:space="preserve">İyn</t>
  </si>
  <si>
    <t xml:space="preserve">Юни</t>
  </si>
  <si>
    <t xml:space="preserve">六月</t>
  </si>
  <si>
    <t xml:space="preserve">Lip</t>
  </si>
  <si>
    <t xml:space="preserve">Čer</t>
  </si>
  <si>
    <t xml:space="preserve">Juin</t>
  </si>
  <si>
    <t xml:space="preserve">ივნ</t>
  </si>
  <si>
    <t xml:space="preserve">Ιουν</t>
  </si>
  <si>
    <t xml:space="preserve">יוני</t>
  </si>
  <si>
    <t xml:space="preserve">Jún</t>
  </si>
  <si>
    <t xml:space="preserve">Giu</t>
  </si>
  <si>
    <r>
      <rPr>
        <sz val="11"/>
        <color rgb="FF000000"/>
        <rFont val="Calibri"/>
        <family val="2"/>
        <charset val="1"/>
      </rPr>
      <t xml:space="preserve">6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</si>
  <si>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Birž</t>
  </si>
  <si>
    <t xml:space="preserve">Јун</t>
  </si>
  <si>
    <t xml:space="preserve">Ġun</t>
  </si>
  <si>
    <t xml:space="preserve">ژوئن</t>
  </si>
  <si>
    <t xml:space="preserve">Cze</t>
  </si>
  <si>
    <t xml:space="preserve">Iun</t>
  </si>
  <si>
    <t xml:space="preserve">Июн</t>
  </si>
  <si>
    <t xml:space="preserve">jun</t>
  </si>
  <si>
    <t xml:space="preserve">มิถุนายน</t>
  </si>
  <si>
    <t xml:space="preserve">Haz</t>
  </si>
  <si>
    <t xml:space="preserve">Tháng 6</t>
  </si>
  <si>
    <t xml:space="preserve">Черв</t>
  </si>
  <si>
    <t xml:space="preserve">جون</t>
  </si>
  <si>
    <t xml:space="preserve">Jul</t>
  </si>
  <si>
    <t xml:space="preserve">Kor</t>
  </si>
  <si>
    <t xml:space="preserve">تموز</t>
  </si>
  <si>
    <t xml:space="preserve">Հուլիս</t>
  </si>
  <si>
    <t xml:space="preserve">İyl</t>
  </si>
  <si>
    <t xml:space="preserve">Юли</t>
  </si>
  <si>
    <t xml:space="preserve">七月</t>
  </si>
  <si>
    <t xml:space="preserve">Srp</t>
  </si>
  <si>
    <t xml:space="preserve">Čec</t>
  </si>
  <si>
    <t xml:space="preserve">Juil</t>
  </si>
  <si>
    <t xml:space="preserve">ივლ</t>
  </si>
  <si>
    <t xml:space="preserve">Ιουλ</t>
  </si>
  <si>
    <t xml:space="preserve">יולי</t>
  </si>
  <si>
    <t xml:space="preserve">Júl</t>
  </si>
  <si>
    <t xml:space="preserve">Lug</t>
  </si>
  <si>
    <r>
      <rPr>
        <sz val="11"/>
        <color rgb="FF000000"/>
        <rFont val="Calibri"/>
        <family val="2"/>
        <charset val="1"/>
      </rPr>
      <t xml:space="preserve">7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</si>
  <si>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Lie</t>
  </si>
  <si>
    <t xml:space="preserve">Јул</t>
  </si>
  <si>
    <t xml:space="preserve">Lul</t>
  </si>
  <si>
    <t xml:space="preserve">ژولای</t>
  </si>
  <si>
    <t xml:space="preserve">Iul</t>
  </si>
  <si>
    <t xml:space="preserve">Июл</t>
  </si>
  <si>
    <t xml:space="preserve">jul</t>
  </si>
  <si>
    <t xml:space="preserve">กรกฎาคม</t>
  </si>
  <si>
    <t xml:space="preserve">Tem</t>
  </si>
  <si>
    <t xml:space="preserve">Tháng 7</t>
  </si>
  <si>
    <t xml:space="preserve">Лип</t>
  </si>
  <si>
    <t xml:space="preserve">جولائی</t>
  </si>
  <si>
    <t xml:space="preserve">Aug</t>
  </si>
  <si>
    <t xml:space="preserve">Gus</t>
  </si>
  <si>
    <t xml:space="preserve">آب</t>
  </si>
  <si>
    <t xml:space="preserve">Օգոս.</t>
  </si>
  <si>
    <t xml:space="preserve">Avq</t>
  </si>
  <si>
    <t xml:space="preserve">Август</t>
  </si>
  <si>
    <t xml:space="preserve">Ago</t>
  </si>
  <si>
    <t xml:space="preserve">八月</t>
  </si>
  <si>
    <t xml:space="preserve">Kol</t>
  </si>
  <si>
    <t xml:space="preserve">Août</t>
  </si>
  <si>
    <t xml:space="preserve">აგვ</t>
  </si>
  <si>
    <t xml:space="preserve">Αυγ</t>
  </si>
  <si>
    <t xml:space="preserve">אוגוסט</t>
  </si>
  <si>
    <t xml:space="preserve">Agu</t>
  </si>
  <si>
    <t xml:space="preserve">Ágú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</si>
  <si>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</si>
  <si>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Rugp</t>
  </si>
  <si>
    <t xml:space="preserve">Авг</t>
  </si>
  <si>
    <t xml:space="preserve">Aww</t>
  </si>
  <si>
    <t xml:space="preserve">اگوست</t>
  </si>
  <si>
    <t xml:space="preserve">Się</t>
  </si>
  <si>
    <t xml:space="preserve">Avg</t>
  </si>
  <si>
    <t xml:space="preserve">สิงหาคม</t>
  </si>
  <si>
    <t xml:space="preserve">Ağu</t>
  </si>
  <si>
    <t xml:space="preserve">Tháng 8</t>
  </si>
  <si>
    <t xml:space="preserve">Серп</t>
  </si>
  <si>
    <t xml:space="preserve">اگست</t>
  </si>
  <si>
    <t xml:space="preserve">Sep</t>
  </si>
  <si>
    <t xml:space="preserve">Shta</t>
  </si>
  <si>
    <t xml:space="preserve">أيلول</t>
  </si>
  <si>
    <t xml:space="preserve">Սեպտ.</t>
  </si>
  <si>
    <t xml:space="preserve">Септември</t>
  </si>
  <si>
    <t xml:space="preserve">Set</t>
  </si>
  <si>
    <t xml:space="preserve">九月</t>
  </si>
  <si>
    <t xml:space="preserve">Ruj</t>
  </si>
  <si>
    <t xml:space="preserve">Sept</t>
  </si>
  <si>
    <t xml:space="preserve">სექ</t>
  </si>
  <si>
    <t xml:space="preserve">Σεπ</t>
  </si>
  <si>
    <t xml:space="preserve">ספטמבר</t>
  </si>
  <si>
    <t xml:space="preserve">Szep</t>
  </si>
  <si>
    <r>
      <rPr>
        <sz val="11"/>
        <color rgb="FF000000"/>
        <rFont val="Calibri"/>
        <family val="2"/>
        <charset val="1"/>
      </rPr>
      <t xml:space="preserve">9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</si>
  <si>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Rugs</t>
  </si>
  <si>
    <t xml:space="preserve">Сеп</t>
  </si>
  <si>
    <t xml:space="preserve">سپتامبر</t>
  </si>
  <si>
    <t xml:space="preserve">Wrz</t>
  </si>
  <si>
    <t xml:space="preserve">Сен</t>
  </si>
  <si>
    <t xml:space="preserve">sep</t>
  </si>
  <si>
    <t xml:space="preserve">กันยายน</t>
  </si>
  <si>
    <t xml:space="preserve">Eyl</t>
  </si>
  <si>
    <t xml:space="preserve">Tháng 9</t>
  </si>
  <si>
    <t xml:space="preserve">Вер</t>
  </si>
  <si>
    <t xml:space="preserve">ستمبر</t>
  </si>
  <si>
    <t xml:space="preserve">Oct</t>
  </si>
  <si>
    <t xml:space="preserve">Tet</t>
  </si>
  <si>
    <t xml:space="preserve">تشرين أول</t>
  </si>
  <si>
    <t xml:space="preserve">Հոկտ.</t>
  </si>
  <si>
    <t xml:space="preserve">Okt</t>
  </si>
  <si>
    <t xml:space="preserve">Октомври</t>
  </si>
  <si>
    <t xml:space="preserve">十月</t>
  </si>
  <si>
    <t xml:space="preserve">Lis</t>
  </si>
  <si>
    <t xml:space="preserve">ოქტ</t>
  </si>
  <si>
    <t xml:space="preserve">Οκτ</t>
  </si>
  <si>
    <t xml:space="preserve">אוקטובר</t>
  </si>
  <si>
    <t xml:space="preserve">Ott</t>
  </si>
  <si>
    <r>
      <rPr>
        <sz val="11"/>
        <color rgb="FF000000"/>
        <rFont val="Calibri"/>
        <family val="2"/>
        <charset val="1"/>
      </rPr>
      <t xml:space="preserve">10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</si>
  <si>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Spa</t>
  </si>
  <si>
    <t xml:space="preserve">Окт</t>
  </si>
  <si>
    <t xml:space="preserve">اکتبر</t>
  </si>
  <si>
    <t xml:space="preserve">Paź</t>
  </si>
  <si>
    <t xml:space="preserve">Out</t>
  </si>
  <si>
    <t xml:space="preserve">okt</t>
  </si>
  <si>
    <t xml:space="preserve">ตุลาคม</t>
  </si>
  <si>
    <t xml:space="preserve">Eki</t>
  </si>
  <si>
    <t xml:space="preserve">Tháng 10</t>
  </si>
  <si>
    <t xml:space="preserve">Жовт</t>
  </si>
  <si>
    <t xml:space="preserve">اکتوبر</t>
  </si>
  <si>
    <t xml:space="preserve">Nov</t>
  </si>
  <si>
    <t xml:space="preserve">Nën</t>
  </si>
  <si>
    <t xml:space="preserve">تشرين ثاني</t>
  </si>
  <si>
    <t xml:space="preserve">Նոյեմ.</t>
  </si>
  <si>
    <t xml:space="preserve">Noy</t>
  </si>
  <si>
    <t xml:space="preserve">Ноември</t>
  </si>
  <si>
    <t xml:space="preserve">十一月</t>
  </si>
  <si>
    <t xml:space="preserve">Stu</t>
  </si>
  <si>
    <t xml:space="preserve">ნოე</t>
  </si>
  <si>
    <t xml:space="preserve">Νοε</t>
  </si>
  <si>
    <t xml:space="preserve">נובמבר</t>
  </si>
  <si>
    <t xml:space="preserve">Nop</t>
  </si>
  <si>
    <t xml:space="preserve">Nóv</t>
  </si>
  <si>
    <r>
      <rPr>
        <sz val="11"/>
        <color rgb="FF000000"/>
        <rFont val="Calibri"/>
        <family val="2"/>
        <charset val="1"/>
      </rPr>
      <t xml:space="preserve">11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</si>
  <si>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Lapk</t>
  </si>
  <si>
    <t xml:space="preserve">Ное</t>
  </si>
  <si>
    <t xml:space="preserve">نوامبر</t>
  </si>
  <si>
    <t xml:space="preserve">Noi</t>
  </si>
  <si>
    <t xml:space="preserve">Ноя</t>
  </si>
  <si>
    <t xml:space="preserve">nov</t>
  </si>
  <si>
    <t xml:space="preserve">พฤศจิกายน</t>
  </si>
  <si>
    <t xml:space="preserve">Kas</t>
  </si>
  <si>
    <t xml:space="preserve">Tháng 11</t>
  </si>
  <si>
    <t xml:space="preserve">Лист</t>
  </si>
  <si>
    <t xml:space="preserve">نومبر</t>
  </si>
  <si>
    <t xml:space="preserve">Dec</t>
  </si>
  <si>
    <t xml:space="preserve">Dhj</t>
  </si>
  <si>
    <t xml:space="preserve">كانون أول</t>
  </si>
  <si>
    <t xml:space="preserve">Դեկտ.</t>
  </si>
  <si>
    <t xml:space="preserve">Dek</t>
  </si>
  <si>
    <t xml:space="preserve">Декември</t>
  </si>
  <si>
    <t xml:space="preserve">Des</t>
  </si>
  <si>
    <t xml:space="preserve">十二月</t>
  </si>
  <si>
    <t xml:space="preserve">Pro</t>
  </si>
  <si>
    <t xml:space="preserve">Déc</t>
  </si>
  <si>
    <t xml:space="preserve">დეკ</t>
  </si>
  <si>
    <t xml:space="preserve">Dez</t>
  </si>
  <si>
    <t xml:space="preserve">Δεκ</t>
  </si>
  <si>
    <t xml:space="preserve">דצמבר</t>
  </si>
  <si>
    <t xml:space="preserve">Dic</t>
  </si>
  <si>
    <r>
      <rPr>
        <sz val="11"/>
        <color rgb="FF000000"/>
        <rFont val="Calibri"/>
        <family val="2"/>
        <charset val="1"/>
      </rPr>
      <t xml:space="preserve">12</t>
    </r>
    <r>
      <rPr>
        <sz val="11"/>
        <color rgb="FF000000"/>
        <rFont val="Droid Sans Fallback"/>
        <family val="2"/>
        <charset val="1"/>
      </rPr>
      <t xml:space="preserve">월</t>
    </r>
  </si>
  <si>
    <t xml:space="preserve">Gruo</t>
  </si>
  <si>
    <t xml:space="preserve">Дек</t>
  </si>
  <si>
    <t xml:space="preserve">Deċ</t>
  </si>
  <si>
    <t xml:space="preserve">دسامبر</t>
  </si>
  <si>
    <t xml:space="preserve">Gru</t>
  </si>
  <si>
    <t xml:space="preserve">dec</t>
  </si>
  <si>
    <t xml:space="preserve">ธันวาคม</t>
  </si>
  <si>
    <t xml:space="preserve">Ara</t>
  </si>
  <si>
    <t xml:space="preserve">Tháng 12</t>
  </si>
  <si>
    <t xml:space="preserve">Груд</t>
  </si>
  <si>
    <t xml:space="preserve">دسمبر</t>
  </si>
  <si>
    <t xml:space="preserve">Team</t>
  </si>
  <si>
    <t xml:space="preserve">Ekipi</t>
  </si>
  <si>
    <t xml:space="preserve">المنتخب</t>
  </si>
  <si>
    <t xml:space="preserve">Հավաքական</t>
  </si>
  <si>
    <t xml:space="preserve">Komanda</t>
  </si>
  <si>
    <t xml:space="preserve">Отбор</t>
  </si>
  <si>
    <t xml:space="preserve">Equip</t>
  </si>
  <si>
    <t xml:space="preserve">球队</t>
  </si>
  <si>
    <t xml:space="preserve">隊伍</t>
  </si>
  <si>
    <t xml:space="preserve">Hold</t>
  </si>
  <si>
    <t xml:space="preserve">Équipe</t>
  </si>
  <si>
    <t xml:space="preserve">ნაკრები</t>
  </si>
  <si>
    <t xml:space="preserve">Ομάδα</t>
  </si>
  <si>
    <t xml:space="preserve">קבוצה</t>
  </si>
  <si>
    <t xml:space="preserve">Csapat</t>
  </si>
  <si>
    <t xml:space="preserve">Tim</t>
  </si>
  <si>
    <t xml:space="preserve">Lið</t>
  </si>
  <si>
    <t xml:space="preserve">Squadra</t>
  </si>
  <si>
    <t xml:space="preserve">팀</t>
  </si>
  <si>
    <t xml:space="preserve">Тим</t>
  </si>
  <si>
    <t xml:space="preserve">Lag</t>
  </si>
  <si>
    <t xml:space="preserve">تیم</t>
  </si>
  <si>
    <t xml:space="preserve">Drużyna</t>
  </si>
  <si>
    <t xml:space="preserve">Equipa</t>
  </si>
  <si>
    <t xml:space="preserve">Echipa</t>
  </si>
  <si>
    <t xml:space="preserve">Команда</t>
  </si>
  <si>
    <t xml:space="preserve">Reprezentacija</t>
  </si>
  <si>
    <t xml:space="preserve">Mužstvo</t>
  </si>
  <si>
    <t xml:space="preserve">Moštvo</t>
  </si>
  <si>
    <t xml:space="preserve">Equipo</t>
  </si>
  <si>
    <t xml:space="preserve">ทึม</t>
  </si>
  <si>
    <t xml:space="preserve">Takım</t>
  </si>
  <si>
    <t xml:space="preserve">Đội</t>
  </si>
  <si>
    <t xml:space="preserve">ٹیم</t>
  </si>
  <si>
    <t xml:space="preserve">Жамоа</t>
  </si>
  <si>
    <t xml:space="preserve">Croatia</t>
  </si>
  <si>
    <t xml:space="preserve">Kroacia</t>
  </si>
  <si>
    <t xml:space="preserve">كرواتيا</t>
  </si>
  <si>
    <t xml:space="preserve">Խորվաթիա</t>
  </si>
  <si>
    <t xml:space="preserve">Xorvatiya</t>
  </si>
  <si>
    <t xml:space="preserve">Хърватия</t>
  </si>
  <si>
    <t xml:space="preserve">Croàcia</t>
  </si>
  <si>
    <t xml:space="preserve">克罗地亚</t>
  </si>
  <si>
    <t xml:space="preserve">克羅地亞</t>
  </si>
  <si>
    <t xml:space="preserve">Hrvatska</t>
  </si>
  <si>
    <t xml:space="preserve">Chorvatsko</t>
  </si>
  <si>
    <t xml:space="preserve">Kroatien</t>
  </si>
  <si>
    <t xml:space="preserve">Kroatië</t>
  </si>
  <si>
    <t xml:space="preserve">Croatie</t>
  </si>
  <si>
    <t xml:space="preserve">ხორვატია</t>
  </si>
  <si>
    <t xml:space="preserve">Κροατία</t>
  </si>
  <si>
    <t xml:space="preserve">קרואטיה</t>
  </si>
  <si>
    <t xml:space="preserve">Horvátország</t>
  </si>
  <si>
    <t xml:space="preserve">Kroasia</t>
  </si>
  <si>
    <t xml:space="preserve">Croazia</t>
  </si>
  <si>
    <t xml:space="preserve">크로아티아</t>
  </si>
  <si>
    <t xml:space="preserve">Kroatija</t>
  </si>
  <si>
    <t xml:space="preserve">хрватска</t>
  </si>
  <si>
    <t xml:space="preserve">Kroazja</t>
  </si>
  <si>
    <t xml:space="preserve">Kroatia</t>
  </si>
  <si>
    <t xml:space="preserve">کرواسی</t>
  </si>
  <si>
    <t xml:space="preserve">Chorwacja</t>
  </si>
  <si>
    <t xml:space="preserve">Croácia</t>
  </si>
  <si>
    <t xml:space="preserve">Croația</t>
  </si>
  <si>
    <t xml:space="preserve">Хорватия</t>
  </si>
  <si>
    <t xml:space="preserve">Хрватска</t>
  </si>
  <si>
    <t xml:space="preserve">Chorvátsko</t>
  </si>
  <si>
    <t xml:space="preserve">Hrvaška</t>
  </si>
  <si>
    <t xml:space="preserve">Croacia</t>
  </si>
  <si>
    <t xml:space="preserve">โครเอเชีย</t>
  </si>
  <si>
    <t xml:space="preserve">Hırvatistan</t>
  </si>
  <si>
    <t xml:space="preserve">Хорватія</t>
  </si>
  <si>
    <t xml:space="preserve">کروشیا</t>
  </si>
  <si>
    <t xml:space="preserve">Mexico</t>
  </si>
  <si>
    <t xml:space="preserve">Meksikë</t>
  </si>
  <si>
    <t xml:space="preserve">المكسيك</t>
  </si>
  <si>
    <t xml:space="preserve">Մեքսիկա</t>
  </si>
  <si>
    <t xml:space="preserve">Meksika</t>
  </si>
  <si>
    <t xml:space="preserve">Мексико</t>
  </si>
  <si>
    <t xml:space="preserve">Mèxic</t>
  </si>
  <si>
    <t xml:space="preserve">墨西哥</t>
  </si>
  <si>
    <t xml:space="preserve">Meksiko</t>
  </si>
  <si>
    <t xml:space="preserve">Mexiko</t>
  </si>
  <si>
    <t xml:space="preserve">Mexique</t>
  </si>
  <si>
    <t xml:space="preserve">მექსიკა</t>
  </si>
  <si>
    <t xml:space="preserve">Μεξικό</t>
  </si>
  <si>
    <t xml:space="preserve">מקסיקו</t>
  </si>
  <si>
    <t xml:space="preserve">Mexikó</t>
  </si>
  <si>
    <t xml:space="preserve">Messico</t>
  </si>
  <si>
    <t xml:space="preserve">멕시코</t>
  </si>
  <si>
    <t xml:space="preserve">Messiku</t>
  </si>
  <si>
    <t xml:space="preserve">مکزیک</t>
  </si>
  <si>
    <t xml:space="preserve">Meksyk</t>
  </si>
  <si>
    <t xml:space="preserve">México</t>
  </si>
  <si>
    <t xml:space="preserve">Mexic</t>
  </si>
  <si>
    <t xml:space="preserve">Мексика</t>
  </si>
  <si>
    <t xml:space="preserve">mexico</t>
  </si>
  <si>
    <t xml:space="preserve">ประเทศเม็กซิโก</t>
  </si>
  <si>
    <t xml:space="preserve">میکسیکو</t>
  </si>
  <si>
    <t xml:space="preserve">Uruguay</t>
  </si>
  <si>
    <t xml:space="preserve">أوروغواي</t>
  </si>
  <si>
    <t xml:space="preserve">Ուրուգվայ</t>
  </si>
  <si>
    <t xml:space="preserve">Uruqvay</t>
  </si>
  <si>
    <t xml:space="preserve">Уругвай</t>
  </si>
  <si>
    <t xml:space="preserve">Uruguai</t>
  </si>
  <si>
    <t xml:space="preserve">乌拉圭</t>
  </si>
  <si>
    <t xml:space="preserve">烏拉圭</t>
  </si>
  <si>
    <t xml:space="preserve">Urugvaj</t>
  </si>
  <si>
    <t xml:space="preserve">ურუგვაის</t>
  </si>
  <si>
    <t xml:space="preserve">Ουρουγουάη</t>
  </si>
  <si>
    <t xml:space="preserve">אורוגוואי</t>
  </si>
  <si>
    <t xml:space="preserve">우루과이</t>
  </si>
  <si>
    <t xml:space="preserve">Urugvajus</t>
  </si>
  <si>
    <t xml:space="preserve">Уругвајската</t>
  </si>
  <si>
    <t xml:space="preserve">Urugwaj</t>
  </si>
  <si>
    <t xml:space="preserve">اروگوئه</t>
  </si>
  <si>
    <t xml:space="preserve">Уругвај</t>
  </si>
  <si>
    <t xml:space="preserve">Uruguaj</t>
  </si>
  <si>
    <t xml:space="preserve">ประเทศอุรุกวัย</t>
  </si>
  <si>
    <t xml:space="preserve">یوراگوئے</t>
  </si>
  <si>
    <t xml:space="preserve">France</t>
  </si>
  <si>
    <t xml:space="preserve">Francë</t>
  </si>
  <si>
    <t xml:space="preserve">فرنسا</t>
  </si>
  <si>
    <t xml:space="preserve">Ֆրանսիա</t>
  </si>
  <si>
    <t xml:space="preserve">Fransa</t>
  </si>
  <si>
    <t xml:space="preserve">Франция</t>
  </si>
  <si>
    <t xml:space="preserve">França</t>
  </si>
  <si>
    <t xml:space="preserve">法国</t>
  </si>
  <si>
    <t xml:space="preserve">法國</t>
  </si>
  <si>
    <t xml:space="preserve">Francuska</t>
  </si>
  <si>
    <t xml:space="preserve">Francie</t>
  </si>
  <si>
    <t xml:space="preserve">Frankrig</t>
  </si>
  <si>
    <t xml:space="preserve">Frankrijk</t>
  </si>
  <si>
    <t xml:space="preserve">საფრანგეთი</t>
  </si>
  <si>
    <t xml:space="preserve">Frankreich</t>
  </si>
  <si>
    <t xml:space="preserve">Γαλλία</t>
  </si>
  <si>
    <t xml:space="preserve">צרפת</t>
  </si>
  <si>
    <t xml:space="preserve">Franciaország</t>
  </si>
  <si>
    <t xml:space="preserve">Perancis</t>
  </si>
  <si>
    <t xml:space="preserve">Francia</t>
  </si>
  <si>
    <t xml:space="preserve">프랑스</t>
  </si>
  <si>
    <t xml:space="preserve">Prancūzija</t>
  </si>
  <si>
    <t xml:space="preserve">Франција</t>
  </si>
  <si>
    <t xml:space="preserve">Franza</t>
  </si>
  <si>
    <t xml:space="preserve">Frankrike</t>
  </si>
  <si>
    <t xml:space="preserve">فرانسه</t>
  </si>
  <si>
    <t xml:space="preserve">Francja</t>
  </si>
  <si>
    <t xml:space="preserve">Franța</t>
  </si>
  <si>
    <t xml:space="preserve">Француска</t>
  </si>
  <si>
    <t xml:space="preserve">Francúzsko</t>
  </si>
  <si>
    <t xml:space="preserve">ฝรั่งเศส</t>
  </si>
  <si>
    <t xml:space="preserve">Pháp</t>
  </si>
  <si>
    <t xml:space="preserve">Франція</t>
  </si>
  <si>
    <t xml:space="preserve">فرانس</t>
  </si>
  <si>
    <t xml:space="preserve">Argentina</t>
  </si>
  <si>
    <t xml:space="preserve">Argjentinë</t>
  </si>
  <si>
    <t xml:space="preserve">الأرجنتين</t>
  </si>
  <si>
    <t xml:space="preserve">Արգենտինա</t>
  </si>
  <si>
    <t xml:space="preserve">Аржентина</t>
  </si>
  <si>
    <t xml:space="preserve">阿根廷</t>
  </si>
  <si>
    <t xml:space="preserve">Argentinië</t>
  </si>
  <si>
    <t xml:space="preserve">Argentine</t>
  </si>
  <si>
    <t xml:space="preserve">არგენტინის</t>
  </si>
  <si>
    <t xml:space="preserve">Argentinien</t>
  </si>
  <si>
    <t xml:space="preserve">Αργεντινή</t>
  </si>
  <si>
    <t xml:space="preserve">ארגנטינה</t>
  </si>
  <si>
    <t xml:space="preserve">Argentína</t>
  </si>
  <si>
    <t xml:space="preserve">아르헨티나</t>
  </si>
  <si>
    <t xml:space="preserve">Аргентина</t>
  </si>
  <si>
    <t xml:space="preserve">Arġentina</t>
  </si>
  <si>
    <t xml:space="preserve">آرژانتین</t>
  </si>
  <si>
    <t xml:space="preserve">Argentyna</t>
  </si>
  <si>
    <t xml:space="preserve">อาร์เจนตินา</t>
  </si>
  <si>
    <t xml:space="preserve">Arjantin</t>
  </si>
  <si>
    <t xml:space="preserve">ارجنٹینا</t>
  </si>
  <si>
    <t xml:space="preserve">Nigeria</t>
  </si>
  <si>
    <t xml:space="preserve">Nigeri</t>
  </si>
  <si>
    <t xml:space="preserve">نيجيريا</t>
  </si>
  <si>
    <t xml:space="preserve">Նիգերիա</t>
  </si>
  <si>
    <t xml:space="preserve">Нигерия</t>
  </si>
  <si>
    <t xml:space="preserve">Nigèria</t>
  </si>
  <si>
    <t xml:space="preserve">尼日利亚</t>
  </si>
  <si>
    <t xml:space="preserve">尼日利亞</t>
  </si>
  <si>
    <t xml:space="preserve">Nigerija</t>
  </si>
  <si>
    <t xml:space="preserve">Nigérie</t>
  </si>
  <si>
    <t xml:space="preserve">ნიგერიის</t>
  </si>
  <si>
    <t xml:space="preserve">Νιγηρία</t>
  </si>
  <si>
    <t xml:space="preserve">ניגריה</t>
  </si>
  <si>
    <t xml:space="preserve">Nigéria</t>
  </si>
  <si>
    <t xml:space="preserve">Nígería</t>
  </si>
  <si>
    <t xml:space="preserve">나이지리아</t>
  </si>
  <si>
    <t xml:space="preserve">Нигерија</t>
  </si>
  <si>
    <t xml:space="preserve">Niġerja</t>
  </si>
  <si>
    <t xml:space="preserve">نیجریه</t>
  </si>
  <si>
    <t xml:space="preserve">ไนจีเรีย</t>
  </si>
  <si>
    <t xml:space="preserve">Nijerya</t>
  </si>
  <si>
    <t xml:space="preserve">Нігерія</t>
  </si>
  <si>
    <t xml:space="preserve">نائیجیریا</t>
  </si>
  <si>
    <t xml:space="preserve">Korea Republic</t>
  </si>
  <si>
    <t xml:space="preserve">جمهورية كوريا</t>
  </si>
  <si>
    <t xml:space="preserve">Կորեայի Հանրապետություն</t>
  </si>
  <si>
    <t xml:space="preserve">Koreya Respublikası</t>
  </si>
  <si>
    <t xml:space="preserve">Република Корея</t>
  </si>
  <si>
    <t xml:space="preserve">República de Corea</t>
  </si>
  <si>
    <t xml:space="preserve">韩国</t>
  </si>
  <si>
    <t xml:space="preserve">韓國</t>
  </si>
  <si>
    <t xml:space="preserve">Južna Koreja</t>
  </si>
  <si>
    <t xml:space="preserve">Jižní Korea</t>
  </si>
  <si>
    <t xml:space="preserve">Sydkorea</t>
  </si>
  <si>
    <t xml:space="preserve">Zuid-Korea</t>
  </si>
  <si>
    <t xml:space="preserve">République de Corée</t>
  </si>
  <si>
    <t xml:space="preserve">კორეის რესპუბლიკა</t>
  </si>
  <si>
    <t xml:space="preserve">Korea Republik</t>
  </si>
  <si>
    <t xml:space="preserve">Δημοκρατία της Κορέας</t>
  </si>
  <si>
    <t xml:space="preserve">קוריאה רפובליקה</t>
  </si>
  <si>
    <t xml:space="preserve">Dél-Korea</t>
  </si>
  <si>
    <t xml:space="preserve">Republik Korea</t>
  </si>
  <si>
    <t xml:space="preserve">Kórea</t>
  </si>
  <si>
    <t xml:space="preserve">Corea del Sud</t>
  </si>
  <si>
    <t xml:space="preserve">한국</t>
  </si>
  <si>
    <t xml:space="preserve">Korėjos Respublika</t>
  </si>
  <si>
    <t xml:space="preserve">Кореја Република</t>
  </si>
  <si>
    <t xml:space="preserve">Korea Repubblika</t>
  </si>
  <si>
    <t xml:space="preserve">Sør-Korea</t>
  </si>
  <si>
    <t xml:space="preserve">کره جنوبی</t>
  </si>
  <si>
    <t xml:space="preserve">Korea Południowa</t>
  </si>
  <si>
    <t xml:space="preserve">República da Coréia</t>
  </si>
  <si>
    <t xml:space="preserve">Coreea de Sud</t>
  </si>
  <si>
    <t xml:space="preserve">Южная Корея</t>
  </si>
  <si>
    <t xml:space="preserve">Република Кореја</t>
  </si>
  <si>
    <t xml:space="preserve">Južná Kórea</t>
  </si>
  <si>
    <t xml:space="preserve">เกาหลีใต้</t>
  </si>
  <si>
    <t xml:space="preserve">Kore Cumhuriyeti</t>
  </si>
  <si>
    <t xml:space="preserve">Hàn Quốc</t>
  </si>
  <si>
    <t xml:space="preserve">Південна Корея</t>
  </si>
  <si>
    <t xml:space="preserve">جمہوریہ کوریا</t>
  </si>
  <si>
    <t xml:space="preserve">Жанубий Корея</t>
  </si>
  <si>
    <t xml:space="preserve">Poland</t>
  </si>
  <si>
    <t xml:space="preserve">Poloni</t>
  </si>
  <si>
    <t xml:space="preserve">بولندا</t>
  </si>
  <si>
    <t xml:space="preserve">Լեհաստան</t>
  </si>
  <si>
    <t xml:space="preserve">Polşa</t>
  </si>
  <si>
    <t xml:space="preserve">Полша</t>
  </si>
  <si>
    <t xml:space="preserve">Polònia</t>
  </si>
  <si>
    <t xml:space="preserve">波兰</t>
  </si>
  <si>
    <t xml:space="preserve">波蘭</t>
  </si>
  <si>
    <t xml:space="preserve">Poljska</t>
  </si>
  <si>
    <t xml:space="preserve">Polsko</t>
  </si>
  <si>
    <t xml:space="preserve">Polen</t>
  </si>
  <si>
    <t xml:space="preserve">Pologne</t>
  </si>
  <si>
    <t xml:space="preserve">პოლონეთი</t>
  </si>
  <si>
    <t xml:space="preserve">Πολωνία</t>
  </si>
  <si>
    <t xml:space="preserve">פּוֹלִין</t>
  </si>
  <si>
    <t xml:space="preserve">Lengyelország</t>
  </si>
  <si>
    <t xml:space="preserve">Polandia</t>
  </si>
  <si>
    <t xml:space="preserve">Polonia</t>
  </si>
  <si>
    <t xml:space="preserve">폴란드</t>
  </si>
  <si>
    <t xml:space="preserve">Lenkija</t>
  </si>
  <si>
    <t xml:space="preserve">Полска</t>
  </si>
  <si>
    <t xml:space="preserve">Polonja</t>
  </si>
  <si>
    <t xml:space="preserve">لهستان</t>
  </si>
  <si>
    <t xml:space="preserve">Polska</t>
  </si>
  <si>
    <t xml:space="preserve">Polônia</t>
  </si>
  <si>
    <t xml:space="preserve">Польша</t>
  </si>
  <si>
    <t xml:space="preserve">Пољска</t>
  </si>
  <si>
    <t xml:space="preserve">Poľsko</t>
  </si>
  <si>
    <t xml:space="preserve">polen</t>
  </si>
  <si>
    <t xml:space="preserve">โปแลนด์</t>
  </si>
  <si>
    <t xml:space="preserve">Polonya</t>
  </si>
  <si>
    <t xml:space="preserve">Ba Lan</t>
  </si>
  <si>
    <t xml:space="preserve">Польща</t>
  </si>
  <si>
    <t xml:space="preserve">پولینڈ</t>
  </si>
  <si>
    <t xml:space="preserve">England</t>
  </si>
  <si>
    <t xml:space="preserve">Angli</t>
  </si>
  <si>
    <t xml:space="preserve">انجلترا</t>
  </si>
  <si>
    <t xml:space="preserve">Անգլիա</t>
  </si>
  <si>
    <t xml:space="preserve">İngiltərə</t>
  </si>
  <si>
    <t xml:space="preserve">Англия</t>
  </si>
  <si>
    <t xml:space="preserve">Anglaterra</t>
  </si>
  <si>
    <t xml:space="preserve">英国</t>
  </si>
  <si>
    <t xml:space="preserve">英國</t>
  </si>
  <si>
    <t xml:space="preserve">Engleska</t>
  </si>
  <si>
    <t xml:space="preserve">Anglie</t>
  </si>
  <si>
    <t xml:space="preserve">Engeland</t>
  </si>
  <si>
    <t xml:space="preserve">Angleterre</t>
  </si>
  <si>
    <t xml:space="preserve">ინგლისი</t>
  </si>
  <si>
    <t xml:space="preserve">Αγγλία</t>
  </si>
  <si>
    <t xml:space="preserve">אנגליה</t>
  </si>
  <si>
    <t xml:space="preserve">Anglia</t>
  </si>
  <si>
    <t xml:space="preserve">Inggris</t>
  </si>
  <si>
    <t xml:space="preserve">Inghilterra</t>
  </si>
  <si>
    <t xml:space="preserve">영국</t>
  </si>
  <si>
    <t xml:space="preserve">Anglija</t>
  </si>
  <si>
    <t xml:space="preserve">Англија</t>
  </si>
  <si>
    <t xml:space="preserve">Ingilterra</t>
  </si>
  <si>
    <t xml:space="preserve">انگلستان</t>
  </si>
  <si>
    <t xml:space="preserve">Inglaterra</t>
  </si>
  <si>
    <t xml:space="preserve">Енглеска</t>
  </si>
  <si>
    <t xml:space="preserve">Anglicko</t>
  </si>
  <si>
    <t xml:space="preserve">อังกฤษ</t>
  </si>
  <si>
    <t xml:space="preserve">İngiltere</t>
  </si>
  <si>
    <t xml:space="preserve">Anh</t>
  </si>
  <si>
    <t xml:space="preserve">Англія</t>
  </si>
  <si>
    <t xml:space="preserve">انگلینڈ</t>
  </si>
  <si>
    <t xml:space="preserve">Serbia</t>
  </si>
  <si>
    <t xml:space="preserve">صربيا</t>
  </si>
  <si>
    <t xml:space="preserve">Սերբիա</t>
  </si>
  <si>
    <t xml:space="preserve">Serbiya</t>
  </si>
  <si>
    <t xml:space="preserve">Сърбия</t>
  </si>
  <si>
    <t xml:space="preserve">Sèrbia</t>
  </si>
  <si>
    <t xml:space="preserve">塞尔维亚</t>
  </si>
  <si>
    <t xml:space="preserve">塞爾維亞</t>
  </si>
  <si>
    <t xml:space="preserve">Srbija</t>
  </si>
  <si>
    <t xml:space="preserve">Srbsko</t>
  </si>
  <si>
    <t xml:space="preserve">Serbien</t>
  </si>
  <si>
    <t xml:space="preserve">Servië</t>
  </si>
  <si>
    <t xml:space="preserve">Serbie</t>
  </si>
  <si>
    <t xml:space="preserve">სერბეთი</t>
  </si>
  <si>
    <t xml:space="preserve">Σερβία</t>
  </si>
  <si>
    <t xml:space="preserve">סרביה</t>
  </si>
  <si>
    <t xml:space="preserve">Szerbia</t>
  </si>
  <si>
    <t xml:space="preserve">Serbía</t>
  </si>
  <si>
    <t xml:space="preserve">세르비아</t>
  </si>
  <si>
    <t xml:space="preserve">Serbija</t>
  </si>
  <si>
    <t xml:space="preserve">Србија</t>
  </si>
  <si>
    <t xml:space="preserve">Serbja</t>
  </si>
  <si>
    <t xml:space="preserve">صربستان</t>
  </si>
  <si>
    <t xml:space="preserve">Sérvia</t>
  </si>
  <si>
    <t xml:space="preserve">Сербия</t>
  </si>
  <si>
    <t xml:space="preserve">เซอร์เบีย</t>
  </si>
  <si>
    <t xml:space="preserve">Sırbistan</t>
  </si>
  <si>
    <t xml:space="preserve">Сербія</t>
  </si>
  <si>
    <t xml:space="preserve">سربیا</t>
  </si>
  <si>
    <t xml:space="preserve">Peru</t>
  </si>
  <si>
    <t xml:space="preserve">بيرو</t>
  </si>
  <si>
    <t xml:space="preserve">Պերու</t>
  </si>
  <si>
    <t xml:space="preserve">Перу</t>
  </si>
  <si>
    <t xml:space="preserve">Perú</t>
  </si>
  <si>
    <t xml:space="preserve">秘鲁</t>
  </si>
  <si>
    <t xml:space="preserve">秘魯</t>
  </si>
  <si>
    <t xml:space="preserve">Pérou</t>
  </si>
  <si>
    <t xml:space="preserve">პერუს</t>
  </si>
  <si>
    <t xml:space="preserve">Περού</t>
  </si>
  <si>
    <t xml:space="preserve">פרו</t>
  </si>
  <si>
    <t xml:space="preserve">Perù</t>
  </si>
  <si>
    <t xml:space="preserve">페루</t>
  </si>
  <si>
    <t xml:space="preserve">پرو</t>
  </si>
  <si>
    <t xml:space="preserve">peru</t>
  </si>
  <si>
    <t xml:space="preserve">เปรู</t>
  </si>
  <si>
    <t xml:space="preserve">پیرو</t>
  </si>
  <si>
    <t xml:space="preserve">Russia</t>
  </si>
  <si>
    <t xml:space="preserve">Rusi</t>
  </si>
  <si>
    <t xml:space="preserve">روسيا</t>
  </si>
  <si>
    <t xml:space="preserve">Ռուսաստան</t>
  </si>
  <si>
    <t xml:space="preserve">Rusiya</t>
  </si>
  <si>
    <t xml:space="preserve">Русия</t>
  </si>
  <si>
    <t xml:space="preserve">Rússia</t>
  </si>
  <si>
    <t xml:space="preserve">俄国</t>
  </si>
  <si>
    <t xml:space="preserve">俄國</t>
  </si>
  <si>
    <t xml:space="preserve">Rusija</t>
  </si>
  <si>
    <t xml:space="preserve">Rusko</t>
  </si>
  <si>
    <t xml:space="preserve">Rusland</t>
  </si>
  <si>
    <t xml:space="preserve">Russie</t>
  </si>
  <si>
    <t xml:space="preserve">რუსეთის</t>
  </si>
  <si>
    <t xml:space="preserve">Russland</t>
  </si>
  <si>
    <t xml:space="preserve">Ρωσία</t>
  </si>
  <si>
    <t xml:space="preserve">רוסיה</t>
  </si>
  <si>
    <t xml:space="preserve">Oroszország</t>
  </si>
  <si>
    <t xml:space="preserve">Rusia</t>
  </si>
  <si>
    <t xml:space="preserve">러시아</t>
  </si>
  <si>
    <t xml:space="preserve">Русија</t>
  </si>
  <si>
    <t xml:space="preserve">Russja</t>
  </si>
  <si>
    <t xml:space="preserve">روسیه،</t>
  </si>
  <si>
    <t xml:space="preserve">Rosja</t>
  </si>
  <si>
    <t xml:space="preserve">Россия</t>
  </si>
  <si>
    <t xml:space="preserve">Ryssland</t>
  </si>
  <si>
    <t xml:space="preserve">ประเทศรัสเซีย</t>
  </si>
  <si>
    <t xml:space="preserve">Rusya</t>
  </si>
  <si>
    <t xml:space="preserve">Nga</t>
  </si>
  <si>
    <t xml:space="preserve">Росія</t>
  </si>
  <si>
    <t xml:space="preserve">روس</t>
  </si>
  <si>
    <t xml:space="preserve">Germany</t>
  </si>
  <si>
    <t xml:space="preserve">Gjermani</t>
  </si>
  <si>
    <t xml:space="preserve">ألمانيا</t>
  </si>
  <si>
    <t xml:space="preserve">Գերմանիա</t>
  </si>
  <si>
    <t xml:space="preserve">Almaniya</t>
  </si>
  <si>
    <t xml:space="preserve">Германия</t>
  </si>
  <si>
    <t xml:space="preserve">Alemanya</t>
  </si>
  <si>
    <t xml:space="preserve">德国</t>
  </si>
  <si>
    <t xml:space="preserve">德國</t>
  </si>
  <si>
    <t xml:space="preserve">Njemačka</t>
  </si>
  <si>
    <t xml:space="preserve">Německo</t>
  </si>
  <si>
    <t xml:space="preserve">Tyskland</t>
  </si>
  <si>
    <t xml:space="preserve">Duitsland</t>
  </si>
  <si>
    <t xml:space="preserve">Allemagne</t>
  </si>
  <si>
    <t xml:space="preserve">გერმანია</t>
  </si>
  <si>
    <t xml:space="preserve">Deutschland</t>
  </si>
  <si>
    <t xml:space="preserve">Γερμανία</t>
  </si>
  <si>
    <t xml:space="preserve">גרמניה</t>
  </si>
  <si>
    <t xml:space="preserve">Németország</t>
  </si>
  <si>
    <t xml:space="preserve">Jerman</t>
  </si>
  <si>
    <t xml:space="preserve">Þýskaland</t>
  </si>
  <si>
    <t xml:space="preserve">Germania</t>
  </si>
  <si>
    <t xml:space="preserve">독일</t>
  </si>
  <si>
    <t xml:space="preserve">Vokietija</t>
  </si>
  <si>
    <t xml:space="preserve">германија</t>
  </si>
  <si>
    <t xml:space="preserve">Ġermanja</t>
  </si>
  <si>
    <t xml:space="preserve">آلمان</t>
  </si>
  <si>
    <t xml:space="preserve">Niemcy</t>
  </si>
  <si>
    <t xml:space="preserve">Alemanha</t>
  </si>
  <si>
    <t xml:space="preserve">Немачка</t>
  </si>
  <si>
    <t xml:space="preserve">Nemecko</t>
  </si>
  <si>
    <t xml:space="preserve">Nemčija</t>
  </si>
  <si>
    <t xml:space="preserve">Alemania</t>
  </si>
  <si>
    <t xml:space="preserve">ประเทศเยอรมัน</t>
  </si>
  <si>
    <t xml:space="preserve">Almanya</t>
  </si>
  <si>
    <t xml:space="preserve">Đức</t>
  </si>
  <si>
    <t xml:space="preserve">Німеччина</t>
  </si>
  <si>
    <t xml:space="preserve">جرمنی</t>
  </si>
  <si>
    <t xml:space="preserve">Australia</t>
  </si>
  <si>
    <t xml:space="preserve">Australi</t>
  </si>
  <si>
    <t xml:space="preserve">أستراليا</t>
  </si>
  <si>
    <t xml:space="preserve">Ավստրալիա</t>
  </si>
  <si>
    <t xml:space="preserve">Avstraliya</t>
  </si>
  <si>
    <t xml:space="preserve">Австралия</t>
  </si>
  <si>
    <t xml:space="preserve">Austràlia</t>
  </si>
  <si>
    <t xml:space="preserve">澳大利亚</t>
  </si>
  <si>
    <t xml:space="preserve">澳大利亞</t>
  </si>
  <si>
    <t xml:space="preserve">Australija</t>
  </si>
  <si>
    <t xml:space="preserve">Austrálie</t>
  </si>
  <si>
    <t xml:space="preserve">Australien</t>
  </si>
  <si>
    <t xml:space="preserve">Australië</t>
  </si>
  <si>
    <t xml:space="preserve">Australie</t>
  </si>
  <si>
    <t xml:space="preserve">ავსტრალიაში</t>
  </si>
  <si>
    <t xml:space="preserve">Αυστραλία</t>
  </si>
  <si>
    <t xml:space="preserve">אוסטרליה</t>
  </si>
  <si>
    <t xml:space="preserve">Ausztrália</t>
  </si>
  <si>
    <t xml:space="preserve">호주</t>
  </si>
  <si>
    <t xml:space="preserve">Австралија</t>
  </si>
  <si>
    <t xml:space="preserve">Awstralja</t>
  </si>
  <si>
    <t xml:space="preserve">استرالیا</t>
  </si>
  <si>
    <t xml:space="preserve">Austrália</t>
  </si>
  <si>
    <t xml:space="preserve">Аустралија</t>
  </si>
  <si>
    <t xml:space="preserve">Avstralija</t>
  </si>
  <si>
    <t xml:space="preserve">ออสเตรเลีย</t>
  </si>
  <si>
    <t xml:space="preserve">Avustralya</t>
  </si>
  <si>
    <t xml:space="preserve">Úc</t>
  </si>
  <si>
    <t xml:space="preserve">Австралія</t>
  </si>
  <si>
    <t xml:space="preserve">آسٹریلیا</t>
  </si>
  <si>
    <t xml:space="preserve">Colombia</t>
  </si>
  <si>
    <t xml:space="preserve">Kolumbi</t>
  </si>
  <si>
    <t xml:space="preserve">كولومبيا</t>
  </si>
  <si>
    <t xml:space="preserve">Կոլումբիա</t>
  </si>
  <si>
    <t xml:space="preserve">Kolumbiya</t>
  </si>
  <si>
    <t xml:space="preserve">Колумбия</t>
  </si>
  <si>
    <t xml:space="preserve">Colòmbia</t>
  </si>
  <si>
    <t xml:space="preserve">哥伦比亚</t>
  </si>
  <si>
    <t xml:space="preserve">哥倫比亞</t>
  </si>
  <si>
    <t xml:space="preserve">Kolumbija</t>
  </si>
  <si>
    <t xml:space="preserve">Kolumbie</t>
  </si>
  <si>
    <t xml:space="preserve">Colombie</t>
  </si>
  <si>
    <t xml:space="preserve">კოლუმბია</t>
  </si>
  <si>
    <t xml:space="preserve">Kolumbien</t>
  </si>
  <si>
    <t xml:space="preserve">Κολομβία</t>
  </si>
  <si>
    <t xml:space="preserve">קולומביה</t>
  </si>
  <si>
    <t xml:space="preserve">Kolumbia</t>
  </si>
  <si>
    <t xml:space="preserve">콜롬비아</t>
  </si>
  <si>
    <t xml:space="preserve">Колумбија</t>
  </si>
  <si>
    <t xml:space="preserve">Kolombja</t>
  </si>
  <si>
    <t xml:space="preserve">کلمبیا</t>
  </si>
  <si>
    <t xml:space="preserve">Colômbia</t>
  </si>
  <si>
    <t xml:space="preserve">Columbia</t>
  </si>
  <si>
    <t xml:space="preserve">ประเทศโคลอมเบีย</t>
  </si>
  <si>
    <t xml:space="preserve">Kolombiya</t>
  </si>
  <si>
    <t xml:space="preserve">Колумбія</t>
  </si>
  <si>
    <t xml:space="preserve">کولمبیا</t>
  </si>
  <si>
    <t xml:space="preserve">Denmark</t>
  </si>
  <si>
    <t xml:space="preserve">Danimarkë</t>
  </si>
  <si>
    <t xml:space="preserve">الدنمارك</t>
  </si>
  <si>
    <t xml:space="preserve">Դանիա</t>
  </si>
  <si>
    <t xml:space="preserve">Danimarka</t>
  </si>
  <si>
    <t xml:space="preserve">Дания</t>
  </si>
  <si>
    <t xml:space="preserve">Dinamarca</t>
  </si>
  <si>
    <t xml:space="preserve">丹麦</t>
  </si>
  <si>
    <t xml:space="preserve">丹麥</t>
  </si>
  <si>
    <t xml:space="preserve">Danska</t>
  </si>
  <si>
    <t xml:space="preserve">Dánsko</t>
  </si>
  <si>
    <t xml:space="preserve">Danmark</t>
  </si>
  <si>
    <t xml:space="preserve">Denemarken</t>
  </si>
  <si>
    <t xml:space="preserve">Danemark</t>
  </si>
  <si>
    <t xml:space="preserve">დანია</t>
  </si>
  <si>
    <t xml:space="preserve">Dänemark</t>
  </si>
  <si>
    <t xml:space="preserve">Δανία</t>
  </si>
  <si>
    <t xml:space="preserve">דנמרק</t>
  </si>
  <si>
    <t xml:space="preserve">Dánia</t>
  </si>
  <si>
    <t xml:space="preserve">Danimarca</t>
  </si>
  <si>
    <t xml:space="preserve">덴마크</t>
  </si>
  <si>
    <t xml:space="preserve">Danija</t>
  </si>
  <si>
    <t xml:space="preserve">Данска</t>
  </si>
  <si>
    <t xml:space="preserve">دانمارک</t>
  </si>
  <si>
    <t xml:space="preserve">Dania</t>
  </si>
  <si>
    <t xml:space="preserve">Danemarca</t>
  </si>
  <si>
    <t xml:space="preserve">เดนมาร์ก</t>
  </si>
  <si>
    <t xml:space="preserve">Đan mạch</t>
  </si>
  <si>
    <t xml:space="preserve">Данія</t>
  </si>
  <si>
    <t xml:space="preserve">ڈنمارک</t>
  </si>
  <si>
    <t xml:space="preserve">Sweden</t>
  </si>
  <si>
    <t xml:space="preserve">Suedi</t>
  </si>
  <si>
    <t xml:space="preserve">السويد</t>
  </si>
  <si>
    <t xml:space="preserve">Շվեդիա</t>
  </si>
  <si>
    <t xml:space="preserve">İsveç</t>
  </si>
  <si>
    <t xml:space="preserve">Швеция</t>
  </si>
  <si>
    <t xml:space="preserve">Suècia</t>
  </si>
  <si>
    <t xml:space="preserve">瑞典</t>
  </si>
  <si>
    <t xml:space="preserve">Švedska</t>
  </si>
  <si>
    <t xml:space="preserve">Švédsko</t>
  </si>
  <si>
    <t xml:space="preserve">Sverige</t>
  </si>
  <si>
    <t xml:space="preserve">Zweden</t>
  </si>
  <si>
    <t xml:space="preserve">Suède</t>
  </si>
  <si>
    <t xml:space="preserve">შვედეთი</t>
  </si>
  <si>
    <t xml:space="preserve">Schweden</t>
  </si>
  <si>
    <t xml:space="preserve">Σουηδία</t>
  </si>
  <si>
    <t xml:space="preserve">שוודיה</t>
  </si>
  <si>
    <t xml:space="preserve">Svédország</t>
  </si>
  <si>
    <t xml:space="preserve">Swedia</t>
  </si>
  <si>
    <t xml:space="preserve">Svíþjóð</t>
  </si>
  <si>
    <t xml:space="preserve">Svezia</t>
  </si>
  <si>
    <t xml:space="preserve">스웨덴</t>
  </si>
  <si>
    <t xml:space="preserve">Švedija</t>
  </si>
  <si>
    <t xml:space="preserve">Шведска</t>
  </si>
  <si>
    <t xml:space="preserve">Isvezja</t>
  </si>
  <si>
    <t xml:space="preserve">سوئد</t>
  </si>
  <si>
    <t xml:space="preserve">Szwecja</t>
  </si>
  <si>
    <t xml:space="preserve">Suécia</t>
  </si>
  <si>
    <t xml:space="preserve">Suedia</t>
  </si>
  <si>
    <t xml:space="preserve">Suecia</t>
  </si>
  <si>
    <t xml:space="preserve">สวีเดน</t>
  </si>
  <si>
    <t xml:space="preserve">Thụy Điển</t>
  </si>
  <si>
    <t xml:space="preserve">Швеція</t>
  </si>
  <si>
    <t xml:space="preserve">سویڈن</t>
  </si>
  <si>
    <t xml:space="preserve">Costa Rica</t>
  </si>
  <si>
    <t xml:space="preserve">Kostarikë</t>
  </si>
  <si>
    <t xml:space="preserve">كوستاريكا</t>
  </si>
  <si>
    <t xml:space="preserve">Կոստա - Ռիկա</t>
  </si>
  <si>
    <t xml:space="preserve">哥斯达黎加</t>
  </si>
  <si>
    <t xml:space="preserve">哥斯達黎加</t>
  </si>
  <si>
    <t xml:space="preserve">Kostarika</t>
  </si>
  <si>
    <t xml:space="preserve">კოსტა რიკის</t>
  </si>
  <si>
    <t xml:space="preserve">Κόστα Ρίκα</t>
  </si>
  <si>
    <t xml:space="preserve">קוסטה ריקה</t>
  </si>
  <si>
    <t xml:space="preserve">Kosta Rika</t>
  </si>
  <si>
    <t xml:space="preserve">Costarica</t>
  </si>
  <si>
    <t xml:space="preserve">코스타리카</t>
  </si>
  <si>
    <t xml:space="preserve">Коста Рика</t>
  </si>
  <si>
    <t xml:space="preserve">کاستاریکا</t>
  </si>
  <si>
    <t xml:space="preserve">Kostaryka</t>
  </si>
  <si>
    <t xml:space="preserve">Коста-Рика</t>
  </si>
  <si>
    <t xml:space="preserve">Костарика</t>
  </si>
  <si>
    <t xml:space="preserve">COSTA RICA</t>
  </si>
  <si>
    <t xml:space="preserve">คอสตาริกา</t>
  </si>
  <si>
    <t xml:space="preserve">Коста -Ріка</t>
  </si>
  <si>
    <t xml:space="preserve">کوسٹا ریکا</t>
  </si>
  <si>
    <t xml:space="preserve">Japan</t>
  </si>
  <si>
    <t xml:space="preserve">Japonia</t>
  </si>
  <si>
    <t xml:space="preserve">اليابان</t>
  </si>
  <si>
    <t xml:space="preserve">Ճապոնիա</t>
  </si>
  <si>
    <t xml:space="preserve">Yaponiya</t>
  </si>
  <si>
    <t xml:space="preserve">Япония</t>
  </si>
  <si>
    <t xml:space="preserve">Japó</t>
  </si>
  <si>
    <t xml:space="preserve">日本</t>
  </si>
  <si>
    <t xml:space="preserve">Japonsko</t>
  </si>
  <si>
    <t xml:space="preserve">Japon</t>
  </si>
  <si>
    <t xml:space="preserve">იაპონია</t>
  </si>
  <si>
    <t xml:space="preserve">Ιαπωνία</t>
  </si>
  <si>
    <t xml:space="preserve">יפן</t>
  </si>
  <si>
    <t xml:space="preserve">Japán</t>
  </si>
  <si>
    <t xml:space="preserve">Jepang</t>
  </si>
  <si>
    <t xml:space="preserve">Giappone</t>
  </si>
  <si>
    <t xml:space="preserve">일본</t>
  </si>
  <si>
    <t xml:space="preserve">Japonija</t>
  </si>
  <si>
    <t xml:space="preserve">Јапонија</t>
  </si>
  <si>
    <t xml:space="preserve">Ġappun</t>
  </si>
  <si>
    <t xml:space="preserve">ژاپن</t>
  </si>
  <si>
    <t xml:space="preserve">Japão</t>
  </si>
  <si>
    <t xml:space="preserve">Japonska</t>
  </si>
  <si>
    <t xml:space="preserve">Japón</t>
  </si>
  <si>
    <t xml:space="preserve">ญี่ปุ่น</t>
  </si>
  <si>
    <t xml:space="preserve">Japonya</t>
  </si>
  <si>
    <t xml:space="preserve">Nhật Bản</t>
  </si>
  <si>
    <t xml:space="preserve">Японія</t>
  </si>
  <si>
    <t xml:space="preserve">جاپان</t>
  </si>
  <si>
    <t xml:space="preserve">Iceland</t>
  </si>
  <si>
    <t xml:space="preserve">Islandë</t>
  </si>
  <si>
    <t xml:space="preserve">أيسلندا</t>
  </si>
  <si>
    <t xml:space="preserve">Իսլանդիա</t>
  </si>
  <si>
    <t xml:space="preserve">İslandiya</t>
  </si>
  <si>
    <t xml:space="preserve">Исландия</t>
  </si>
  <si>
    <t xml:space="preserve">Islàndia</t>
  </si>
  <si>
    <t xml:space="preserve">冰岛</t>
  </si>
  <si>
    <t xml:space="preserve">冰島</t>
  </si>
  <si>
    <t xml:space="preserve">Island</t>
  </si>
  <si>
    <t xml:space="preserve">IJsland</t>
  </si>
  <si>
    <t xml:space="preserve">Islande</t>
  </si>
  <si>
    <t xml:space="preserve">ისლანდია</t>
  </si>
  <si>
    <t xml:space="preserve">Ισλανδία</t>
  </si>
  <si>
    <t xml:space="preserve">אִיסלַנד</t>
  </si>
  <si>
    <t xml:space="preserve">Izland</t>
  </si>
  <si>
    <t xml:space="preserve">Islandia</t>
  </si>
  <si>
    <t xml:space="preserve">iceland</t>
  </si>
  <si>
    <t xml:space="preserve">Islanda</t>
  </si>
  <si>
    <t xml:space="preserve">아이슬란드</t>
  </si>
  <si>
    <t xml:space="preserve">Islandija</t>
  </si>
  <si>
    <t xml:space="preserve">Исланд</t>
  </si>
  <si>
    <t xml:space="preserve">ایسلند</t>
  </si>
  <si>
    <t xml:space="preserve">Islândia</t>
  </si>
  <si>
    <t xml:space="preserve">ประเทศไอซ์แลนด์</t>
  </si>
  <si>
    <t xml:space="preserve">İzlanda</t>
  </si>
  <si>
    <t xml:space="preserve">Ісландія</t>
  </si>
  <si>
    <t xml:space="preserve">آیس لینڈ</t>
  </si>
  <si>
    <t xml:space="preserve">Senegal</t>
  </si>
  <si>
    <t xml:space="preserve">السنغال</t>
  </si>
  <si>
    <t xml:space="preserve">Սենեգալ</t>
  </si>
  <si>
    <t xml:space="preserve">Seneqal</t>
  </si>
  <si>
    <t xml:space="preserve">Сенегал</t>
  </si>
  <si>
    <t xml:space="preserve">塞内加尔</t>
  </si>
  <si>
    <t xml:space="preserve">塞內加爾</t>
  </si>
  <si>
    <t xml:space="preserve">Sénégal</t>
  </si>
  <si>
    <t xml:space="preserve">სენეგალი</t>
  </si>
  <si>
    <t xml:space="preserve">Σενεγάλη</t>
  </si>
  <si>
    <t xml:space="preserve">סנגל</t>
  </si>
  <si>
    <t xml:space="preserve">Szenegál</t>
  </si>
  <si>
    <t xml:space="preserve">senegal</t>
  </si>
  <si>
    <t xml:space="preserve">세네갈</t>
  </si>
  <si>
    <t xml:space="preserve">Senegalas</t>
  </si>
  <si>
    <t xml:space="preserve">سنگال</t>
  </si>
  <si>
    <t xml:space="preserve">сенегал</t>
  </si>
  <si>
    <t xml:space="preserve">ประเทศเซเนกัล</t>
  </si>
  <si>
    <t xml:space="preserve">سنیگال</t>
  </si>
  <si>
    <t xml:space="preserve">Tunisia</t>
  </si>
  <si>
    <t xml:space="preserve">Tunizi</t>
  </si>
  <si>
    <t xml:space="preserve">تونس</t>
  </si>
  <si>
    <t xml:space="preserve">Թունիս</t>
  </si>
  <si>
    <t xml:space="preserve">Tunis</t>
  </si>
  <si>
    <t xml:space="preserve">Тунис</t>
  </si>
  <si>
    <t xml:space="preserve">Tunísia</t>
  </si>
  <si>
    <t xml:space="preserve">突尼斯</t>
  </si>
  <si>
    <t xml:space="preserve">Tunisko</t>
  </si>
  <si>
    <t xml:space="preserve">Tunesien</t>
  </si>
  <si>
    <t xml:space="preserve">Tunesië</t>
  </si>
  <si>
    <t xml:space="preserve">Tunisie</t>
  </si>
  <si>
    <t xml:space="preserve">ტუნისში</t>
  </si>
  <si>
    <t xml:space="preserve">Τυνησία</t>
  </si>
  <si>
    <t xml:space="preserve">תוניסיה</t>
  </si>
  <si>
    <t xml:space="preserve">Tunézia</t>
  </si>
  <si>
    <t xml:space="preserve">Túnis</t>
  </si>
  <si>
    <t xml:space="preserve">튀니지</t>
  </si>
  <si>
    <t xml:space="preserve">Tunisas</t>
  </si>
  <si>
    <t xml:space="preserve">Tuneżija</t>
  </si>
  <si>
    <t xml:space="preserve">Tunezja</t>
  </si>
  <si>
    <t xml:space="preserve">Tunizija</t>
  </si>
  <si>
    <t xml:space="preserve">Túnez</t>
  </si>
  <si>
    <t xml:space="preserve">Tunisien</t>
  </si>
  <si>
    <t xml:space="preserve">ตูนิเซีย</t>
  </si>
  <si>
    <t xml:space="preserve">Tunus</t>
  </si>
  <si>
    <t xml:space="preserve">Туніс</t>
  </si>
  <si>
    <t xml:space="preserve">تیونس</t>
  </si>
  <si>
    <t xml:space="preserve">Egypt</t>
  </si>
  <si>
    <t xml:space="preserve">Egjipt</t>
  </si>
  <si>
    <t xml:space="preserve">مصر</t>
  </si>
  <si>
    <t xml:space="preserve">Եգիպտոս</t>
  </si>
  <si>
    <t xml:space="preserve">Misir</t>
  </si>
  <si>
    <t xml:space="preserve">Египет</t>
  </si>
  <si>
    <t xml:space="preserve">Egipte</t>
  </si>
  <si>
    <t xml:space="preserve">埃及</t>
  </si>
  <si>
    <t xml:space="preserve">Egipat</t>
  </si>
  <si>
    <t xml:space="preserve">Egypten</t>
  </si>
  <si>
    <t xml:space="preserve">Egypte</t>
  </si>
  <si>
    <t xml:space="preserve">ეგვიპტეში</t>
  </si>
  <si>
    <t xml:space="preserve">Ägypten</t>
  </si>
  <si>
    <t xml:space="preserve">Αίγυπτος</t>
  </si>
  <si>
    <t xml:space="preserve">מִצְרַיִם</t>
  </si>
  <si>
    <t xml:space="preserve">Egyiptom</t>
  </si>
  <si>
    <t xml:space="preserve">Mesir</t>
  </si>
  <si>
    <t xml:space="preserve">Egyptaland</t>
  </si>
  <si>
    <t xml:space="preserve">Egitto</t>
  </si>
  <si>
    <t xml:space="preserve">이집트</t>
  </si>
  <si>
    <t xml:space="preserve">Egiptas</t>
  </si>
  <si>
    <t xml:space="preserve">Eġittu</t>
  </si>
  <si>
    <t xml:space="preserve">Egipt</t>
  </si>
  <si>
    <t xml:space="preserve">Egito</t>
  </si>
  <si>
    <t xml:space="preserve">Египат</t>
  </si>
  <si>
    <t xml:space="preserve">Egipto</t>
  </si>
  <si>
    <t xml:space="preserve">อียิปต์</t>
  </si>
  <si>
    <t xml:space="preserve">Mısır</t>
  </si>
  <si>
    <t xml:space="preserve">Ai Cập</t>
  </si>
  <si>
    <t xml:space="preserve">Єгипет</t>
  </si>
  <si>
    <t xml:space="preserve">Iran</t>
  </si>
  <si>
    <t xml:space="preserve">ايران</t>
  </si>
  <si>
    <t xml:space="preserve">Իրան</t>
  </si>
  <si>
    <t xml:space="preserve">İran</t>
  </si>
  <si>
    <t xml:space="preserve">Иран</t>
  </si>
  <si>
    <t xml:space="preserve">伊朗</t>
  </si>
  <si>
    <t xml:space="preserve">Írán</t>
  </si>
  <si>
    <t xml:space="preserve">ირანის</t>
  </si>
  <si>
    <t xml:space="preserve">Ιράν</t>
  </si>
  <si>
    <t xml:space="preserve">אירן</t>
  </si>
  <si>
    <t xml:space="preserve">Irán</t>
  </si>
  <si>
    <t xml:space="preserve">Íran</t>
  </si>
  <si>
    <t xml:space="preserve">이란</t>
  </si>
  <si>
    <t xml:space="preserve">Iranas</t>
  </si>
  <si>
    <t xml:space="preserve">ایران</t>
  </si>
  <si>
    <t xml:space="preserve">Irã</t>
  </si>
  <si>
    <t xml:space="preserve">อิหร่าน</t>
  </si>
  <si>
    <t xml:space="preserve">Іран</t>
  </si>
  <si>
    <t xml:space="preserve">Эрон</t>
  </si>
  <si>
    <t xml:space="preserve">Brazil</t>
  </si>
  <si>
    <t xml:space="preserve">Brazili</t>
  </si>
  <si>
    <t xml:space="preserve">البرازيل</t>
  </si>
  <si>
    <t xml:space="preserve">Բրազիլիա</t>
  </si>
  <si>
    <t xml:space="preserve">Braziliya</t>
  </si>
  <si>
    <t xml:space="preserve">Бразилия</t>
  </si>
  <si>
    <t xml:space="preserve">Brasil</t>
  </si>
  <si>
    <t xml:space="preserve">巴西</t>
  </si>
  <si>
    <t xml:space="preserve">Brazílie</t>
  </si>
  <si>
    <t xml:space="preserve">Brasilien</t>
  </si>
  <si>
    <t xml:space="preserve">Brazilië</t>
  </si>
  <si>
    <t xml:space="preserve">Brésil</t>
  </si>
  <si>
    <t xml:space="preserve">ბრაზილია</t>
  </si>
  <si>
    <t xml:space="preserve">Βραζιλία</t>
  </si>
  <si>
    <t xml:space="preserve">ברזיל</t>
  </si>
  <si>
    <t xml:space="preserve">Brazília</t>
  </si>
  <si>
    <t xml:space="preserve">Brasilía</t>
  </si>
  <si>
    <t xml:space="preserve">Brasile</t>
  </si>
  <si>
    <t xml:space="preserve">브라질</t>
  </si>
  <si>
    <t xml:space="preserve">Brazilija</t>
  </si>
  <si>
    <t xml:space="preserve">Бразил</t>
  </si>
  <si>
    <t xml:space="preserve">Brażil</t>
  </si>
  <si>
    <t xml:space="preserve">برزیل</t>
  </si>
  <si>
    <t xml:space="preserve">Brazylia</t>
  </si>
  <si>
    <t xml:space="preserve">Brazilia</t>
  </si>
  <si>
    <t xml:space="preserve">บราซิล</t>
  </si>
  <si>
    <t xml:space="preserve">Brezilya</t>
  </si>
  <si>
    <t xml:space="preserve">B-ra-xin</t>
  </si>
  <si>
    <t xml:space="preserve">Бразилія</t>
  </si>
  <si>
    <t xml:space="preserve">برازیل</t>
  </si>
  <si>
    <t xml:space="preserve">Belgium</t>
  </si>
  <si>
    <t xml:space="preserve">Belgjikë</t>
  </si>
  <si>
    <t xml:space="preserve">بلجيكا</t>
  </si>
  <si>
    <t xml:space="preserve">Բելգիա</t>
  </si>
  <si>
    <t xml:space="preserve">Belçika</t>
  </si>
  <si>
    <t xml:space="preserve">Белгия</t>
  </si>
  <si>
    <t xml:space="preserve">Bèlgica</t>
  </si>
  <si>
    <t xml:space="preserve">比利时</t>
  </si>
  <si>
    <t xml:space="preserve">比利時</t>
  </si>
  <si>
    <t xml:space="preserve">Belgija</t>
  </si>
  <si>
    <t xml:space="preserve">Belgie</t>
  </si>
  <si>
    <t xml:space="preserve">Belgien</t>
  </si>
  <si>
    <t xml:space="preserve">België</t>
  </si>
  <si>
    <t xml:space="preserve">Belgique</t>
  </si>
  <si>
    <t xml:space="preserve">ბელგიის</t>
  </si>
  <si>
    <t xml:space="preserve">Βέλγιο</t>
  </si>
  <si>
    <t xml:space="preserve">בלגיה</t>
  </si>
  <si>
    <t xml:space="preserve">Belgia</t>
  </si>
  <si>
    <t xml:space="preserve">Belgio</t>
  </si>
  <si>
    <t xml:space="preserve">벨기에</t>
  </si>
  <si>
    <t xml:space="preserve">белгија</t>
  </si>
  <si>
    <t xml:space="preserve">Belġju</t>
  </si>
  <si>
    <t xml:space="preserve">بلژیک</t>
  </si>
  <si>
    <t xml:space="preserve">Bélgica</t>
  </si>
  <si>
    <t xml:space="preserve">Бельгия</t>
  </si>
  <si>
    <t xml:space="preserve">Белгија</t>
  </si>
  <si>
    <t xml:space="preserve">belgicko</t>
  </si>
  <si>
    <t xml:space="preserve">เบลเยี่ยม</t>
  </si>
  <si>
    <t xml:space="preserve">Bỉ</t>
  </si>
  <si>
    <t xml:space="preserve">Бельгія</t>
  </si>
  <si>
    <t xml:space="preserve">بیلجئیم</t>
  </si>
  <si>
    <t xml:space="preserve">Morocco</t>
  </si>
  <si>
    <t xml:space="preserve">Marok</t>
  </si>
  <si>
    <t xml:space="preserve">المغرب</t>
  </si>
  <si>
    <t xml:space="preserve">սեկ</t>
  </si>
  <si>
    <t xml:space="preserve">Mərakeş</t>
  </si>
  <si>
    <t xml:space="preserve">Мароко</t>
  </si>
  <si>
    <t xml:space="preserve">Marroc</t>
  </si>
  <si>
    <t xml:space="preserve">摩洛哥</t>
  </si>
  <si>
    <t xml:space="preserve">Maroko</t>
  </si>
  <si>
    <t xml:space="preserve">Marokko</t>
  </si>
  <si>
    <t xml:space="preserve">Maroc</t>
  </si>
  <si>
    <t xml:space="preserve">მაროკო</t>
  </si>
  <si>
    <t xml:space="preserve">Μαρόκο</t>
  </si>
  <si>
    <t xml:space="preserve">מָרוֹקוֹ</t>
  </si>
  <si>
    <t xml:space="preserve">Marokkó</t>
  </si>
  <si>
    <t xml:space="preserve">Marocco</t>
  </si>
  <si>
    <t xml:space="preserve">모로코</t>
  </si>
  <si>
    <t xml:space="preserve">Marokas</t>
  </si>
  <si>
    <t xml:space="preserve">Marokk</t>
  </si>
  <si>
    <t xml:space="preserve">مراکش</t>
  </si>
  <si>
    <t xml:space="preserve">Marrocos</t>
  </si>
  <si>
    <t xml:space="preserve">Марокко</t>
  </si>
  <si>
    <t xml:space="preserve">Marruecos</t>
  </si>
  <si>
    <t xml:space="preserve">Marocko</t>
  </si>
  <si>
    <t xml:space="preserve">โมร็อกโก</t>
  </si>
  <si>
    <t xml:space="preserve">Fas</t>
  </si>
  <si>
    <t xml:space="preserve">Portugal</t>
  </si>
  <si>
    <t xml:space="preserve">Portugali</t>
  </si>
  <si>
    <t xml:space="preserve">البرتغال</t>
  </si>
  <si>
    <t xml:space="preserve">Պորտուգալիա</t>
  </si>
  <si>
    <t xml:space="preserve">Portuqaliya</t>
  </si>
  <si>
    <t xml:space="preserve">Португалия</t>
  </si>
  <si>
    <t xml:space="preserve">葡萄牙</t>
  </si>
  <si>
    <t xml:space="preserve">Portugalija</t>
  </si>
  <si>
    <t xml:space="preserve">Portugalsko</t>
  </si>
  <si>
    <t xml:space="preserve">პორტუგალიის</t>
  </si>
  <si>
    <t xml:space="preserve">Πορτογαλία</t>
  </si>
  <si>
    <t xml:space="preserve">פורטוגל</t>
  </si>
  <si>
    <t xml:space="preserve">Portugália</t>
  </si>
  <si>
    <t xml:space="preserve">Portogallo</t>
  </si>
  <si>
    <t xml:space="preserve">포르투갈</t>
  </si>
  <si>
    <t xml:space="preserve">Португалија</t>
  </si>
  <si>
    <t xml:space="preserve">Portugall</t>
  </si>
  <si>
    <t xml:space="preserve">پرتغال</t>
  </si>
  <si>
    <t xml:space="preserve">Portugalia</t>
  </si>
  <si>
    <t xml:space="preserve">Portugalska</t>
  </si>
  <si>
    <t xml:space="preserve">โปรตุเกส</t>
  </si>
  <si>
    <t xml:space="preserve">Portekiz</t>
  </si>
  <si>
    <t xml:space="preserve">Bồ Đào Nha</t>
  </si>
  <si>
    <t xml:space="preserve">Португалія</t>
  </si>
  <si>
    <t xml:space="preserve">پرتگال</t>
  </si>
  <si>
    <t xml:space="preserve">Spain</t>
  </si>
  <si>
    <t xml:space="preserve">Spanjë</t>
  </si>
  <si>
    <t xml:space="preserve">إسبانيا</t>
  </si>
  <si>
    <t xml:space="preserve">Իսպանիա</t>
  </si>
  <si>
    <t xml:space="preserve">İspaniya</t>
  </si>
  <si>
    <t xml:space="preserve">Испания</t>
  </si>
  <si>
    <t xml:space="preserve">Espanya</t>
  </si>
  <si>
    <t xml:space="preserve">西班牙</t>
  </si>
  <si>
    <t xml:space="preserve">Španjolska</t>
  </si>
  <si>
    <t xml:space="preserve">Španělsko</t>
  </si>
  <si>
    <t xml:space="preserve">Spanien</t>
  </si>
  <si>
    <t xml:space="preserve">Spanje</t>
  </si>
  <si>
    <t xml:space="preserve">Espagne</t>
  </si>
  <si>
    <t xml:space="preserve">ესპანეთში</t>
  </si>
  <si>
    <t xml:space="preserve">Ισπανία</t>
  </si>
  <si>
    <t xml:space="preserve">ספרד</t>
  </si>
  <si>
    <t xml:space="preserve">Spanyolország</t>
  </si>
  <si>
    <t xml:space="preserve">Spanyol</t>
  </si>
  <si>
    <t xml:space="preserve">spain</t>
  </si>
  <si>
    <t xml:space="preserve">Spagna</t>
  </si>
  <si>
    <t xml:space="preserve">스페인</t>
  </si>
  <si>
    <t xml:space="preserve">Ispanija</t>
  </si>
  <si>
    <t xml:space="preserve">Шпанија</t>
  </si>
  <si>
    <t xml:space="preserve">Spanja</t>
  </si>
  <si>
    <t xml:space="preserve">Spania</t>
  </si>
  <si>
    <t xml:space="preserve">کشور اسپانیا</t>
  </si>
  <si>
    <t xml:space="preserve">Hiszpania</t>
  </si>
  <si>
    <t xml:space="preserve">Espanha</t>
  </si>
  <si>
    <t xml:space="preserve">španielsko</t>
  </si>
  <si>
    <t xml:space="preserve">Španija</t>
  </si>
  <si>
    <t xml:space="preserve">España</t>
  </si>
  <si>
    <t xml:space="preserve">สเปน</t>
  </si>
  <si>
    <t xml:space="preserve">İspanya</t>
  </si>
  <si>
    <t xml:space="preserve">Tây ban nha</t>
  </si>
  <si>
    <t xml:space="preserve">Іспанія</t>
  </si>
  <si>
    <t xml:space="preserve">سپین</t>
  </si>
  <si>
    <t xml:space="preserve">Switzerland</t>
  </si>
  <si>
    <t xml:space="preserve">Zvicër</t>
  </si>
  <si>
    <t xml:space="preserve">سويسرا</t>
  </si>
  <si>
    <t xml:space="preserve">Շվեյցարիա</t>
  </si>
  <si>
    <t xml:space="preserve">İsveçrə</t>
  </si>
  <si>
    <t xml:space="preserve">Швейцария</t>
  </si>
  <si>
    <t xml:space="preserve">Suïssa</t>
  </si>
  <si>
    <t xml:space="preserve">瑞士</t>
  </si>
  <si>
    <t xml:space="preserve">Švajcarska</t>
  </si>
  <si>
    <t xml:space="preserve">Švýcarsko</t>
  </si>
  <si>
    <t xml:space="preserve">Schweiz</t>
  </si>
  <si>
    <t xml:space="preserve">Zwitserland</t>
  </si>
  <si>
    <t xml:space="preserve">Suisse</t>
  </si>
  <si>
    <t xml:space="preserve">Ελβετία</t>
  </si>
  <si>
    <t xml:space="preserve">שוויץ</t>
  </si>
  <si>
    <t xml:space="preserve">Svájc</t>
  </si>
  <si>
    <t xml:space="preserve">Swiss</t>
  </si>
  <si>
    <t xml:space="preserve">Sviss</t>
  </si>
  <si>
    <t xml:space="preserve">Svizzera</t>
  </si>
  <si>
    <t xml:space="preserve">스위스</t>
  </si>
  <si>
    <t xml:space="preserve">Šveicarija</t>
  </si>
  <si>
    <t xml:space="preserve">Швајцарија</t>
  </si>
  <si>
    <t xml:space="preserve">Isvizzera</t>
  </si>
  <si>
    <t xml:space="preserve">Sveits</t>
  </si>
  <si>
    <t xml:space="preserve">سویس</t>
  </si>
  <si>
    <t xml:space="preserve">Szwajcaria</t>
  </si>
  <si>
    <t xml:space="preserve">Suíça</t>
  </si>
  <si>
    <t xml:space="preserve">Elveția</t>
  </si>
  <si>
    <t xml:space="preserve">Швајцарска</t>
  </si>
  <si>
    <t xml:space="preserve">švajčiarsko</t>
  </si>
  <si>
    <t xml:space="preserve">Švica</t>
  </si>
  <si>
    <t xml:space="preserve">Suiza</t>
  </si>
  <si>
    <t xml:space="preserve">ประเทศสวิสเซอร์แลนด์</t>
  </si>
  <si>
    <t xml:space="preserve">İsviçre</t>
  </si>
  <si>
    <t xml:space="preserve">Thụy Sĩ</t>
  </si>
  <si>
    <t xml:space="preserve">Швейцарія</t>
  </si>
  <si>
    <t xml:space="preserve">سوئٹزرلینڈ</t>
  </si>
  <si>
    <t xml:space="preserve">Panama</t>
  </si>
  <si>
    <t xml:space="preserve">بناما</t>
  </si>
  <si>
    <t xml:space="preserve">պանամա</t>
  </si>
  <si>
    <t xml:space="preserve">Панама</t>
  </si>
  <si>
    <t xml:space="preserve">Panamà</t>
  </si>
  <si>
    <t xml:space="preserve">巴拿马</t>
  </si>
  <si>
    <t xml:space="preserve">巴拿馬</t>
  </si>
  <si>
    <t xml:space="preserve">პანამა</t>
  </si>
  <si>
    <t xml:space="preserve">Παναμάς</t>
  </si>
  <si>
    <t xml:space="preserve">פנמה</t>
  </si>
  <si>
    <t xml:space="preserve">파나마</t>
  </si>
  <si>
    <t xml:space="preserve">پاناما</t>
  </si>
  <si>
    <t xml:space="preserve">Panamá</t>
  </si>
  <si>
    <t xml:space="preserve">ปานามา</t>
  </si>
  <si>
    <t xml:space="preserve">Saudi Arabia</t>
  </si>
  <si>
    <t xml:space="preserve">Arabia Saudite</t>
  </si>
  <si>
    <t xml:space="preserve">المملكة العربية السعودية</t>
  </si>
  <si>
    <t xml:space="preserve">Սաուդյան Արաբիան</t>
  </si>
  <si>
    <t xml:space="preserve">Səudiyyə Ərəbistanı</t>
  </si>
  <si>
    <t xml:space="preserve">Саудитска Арабия</t>
  </si>
  <si>
    <t xml:space="preserve">Aràbia Saudita</t>
  </si>
  <si>
    <t xml:space="preserve">沙特阿拉伯</t>
  </si>
  <si>
    <t xml:space="preserve">Saudijska Arabija</t>
  </si>
  <si>
    <t xml:space="preserve">Saudská arábie</t>
  </si>
  <si>
    <t xml:space="preserve">Saudi Arabien</t>
  </si>
  <si>
    <t xml:space="preserve">Saoedi-Arabië</t>
  </si>
  <si>
    <t xml:space="preserve">Arabie Saoudite</t>
  </si>
  <si>
    <t xml:space="preserve">საუდის არაბეთი</t>
  </si>
  <si>
    <t xml:space="preserve">Σαουδική Αραβία</t>
  </si>
  <si>
    <t xml:space="preserve">ערב הסעודית</t>
  </si>
  <si>
    <t xml:space="preserve">Szaud-Arábia</t>
  </si>
  <si>
    <t xml:space="preserve">Arab Saudi</t>
  </si>
  <si>
    <t xml:space="preserve">Sádí-Arabía</t>
  </si>
  <si>
    <t xml:space="preserve">Arabia Saudita</t>
  </si>
  <si>
    <t xml:space="preserve">사우디 아라비아</t>
  </si>
  <si>
    <t xml:space="preserve">Saudo Arabija</t>
  </si>
  <si>
    <t xml:space="preserve">Саудиска Арабија</t>
  </si>
  <si>
    <t xml:space="preserve">Għarabja Sawdita</t>
  </si>
  <si>
    <t xml:space="preserve">Saudi-Arabia</t>
  </si>
  <si>
    <t xml:space="preserve">عربستان سعودی</t>
  </si>
  <si>
    <t xml:space="preserve">Arabia Saudyjska</t>
  </si>
  <si>
    <t xml:space="preserve">Arábia Saudita</t>
  </si>
  <si>
    <t xml:space="preserve">Arabia Saudită</t>
  </si>
  <si>
    <t xml:space="preserve">Саудовская Аравия</t>
  </si>
  <si>
    <t xml:space="preserve">Саудијска Арабија</t>
  </si>
  <si>
    <t xml:space="preserve">Saudská Arábia</t>
  </si>
  <si>
    <t xml:space="preserve">Savdska Arabija</t>
  </si>
  <si>
    <t xml:space="preserve">Saudiarabien</t>
  </si>
  <si>
    <t xml:space="preserve">ซาอุดิอาราเบีย</t>
  </si>
  <si>
    <t xml:space="preserve">Suudi Arabistan</t>
  </si>
  <si>
    <t xml:space="preserve">Ả Rập Xê-út</t>
  </si>
  <si>
    <t xml:space="preserve">Саудівська Аравія</t>
  </si>
  <si>
    <t xml:space="preserve">سعودی عرب</t>
  </si>
  <si>
    <t xml:space="preserve">1A</t>
  </si>
  <si>
    <t xml:space="preserve">A1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</si>
  <si>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</si>
  <si>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</si>
  <si>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</si>
  <si>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۱الف</t>
  </si>
  <si>
    <t xml:space="preserve">2A</t>
  </si>
  <si>
    <t xml:space="preserve">A2</t>
  </si>
  <si>
    <r>
      <rPr>
        <sz val="11"/>
        <color rgb="FF000000"/>
        <rFont val="Calibri"/>
        <family val="2"/>
        <charset val="1"/>
      </rPr>
      <t xml:space="preserve">A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</si>
  <si>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A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</si>
  <si>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A</t>
    </r>
  </si>
  <si>
    <t xml:space="preserve">۲الف</t>
  </si>
  <si>
    <t xml:space="preserve">1B</t>
  </si>
  <si>
    <t xml:space="preserve">B1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</si>
  <si>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</si>
  <si>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</si>
  <si>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</si>
  <si>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۱ب</t>
  </si>
  <si>
    <t xml:space="preserve">2B</t>
  </si>
  <si>
    <t xml:space="preserve">B2</t>
  </si>
  <si>
    <r>
      <rPr>
        <sz val="11"/>
        <color rgb="FF000000"/>
        <rFont val="Calibri"/>
        <family val="2"/>
        <charset val="1"/>
      </rPr>
      <t xml:space="preserve">B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</si>
  <si>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</t>
    </r>
    <r>
      <rPr>
        <sz val="11"/>
        <color rgb="FF000000"/>
        <rFont val="Calibri"/>
        <family val="2"/>
        <charset val="1"/>
      </rPr>
      <t xml:space="preserve">B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</si>
  <si>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B</t>
    </r>
  </si>
  <si>
    <t xml:space="preserve">۲ب</t>
  </si>
  <si>
    <t xml:space="preserve">1C</t>
  </si>
  <si>
    <t xml:space="preserve">C1</t>
  </si>
  <si>
    <t xml:space="preserve">1Γ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</si>
  <si>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</si>
  <si>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1Ċ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</si>
  <si>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</si>
  <si>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</si>
  <si>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۱ج</t>
  </si>
  <si>
    <t xml:space="preserve">2C</t>
  </si>
  <si>
    <t xml:space="preserve">C2</t>
  </si>
  <si>
    <t xml:space="preserve">2Γ</t>
  </si>
  <si>
    <r>
      <rPr>
        <sz val="11"/>
        <color rgb="FF000000"/>
        <rFont val="Calibri"/>
        <family val="2"/>
        <charset val="1"/>
      </rPr>
      <t xml:space="preserve">C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</si>
  <si>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2Ċ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</si>
  <si>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C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</si>
  <si>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C</t>
    </r>
  </si>
  <si>
    <t xml:space="preserve">۲ج</t>
  </si>
  <si>
    <t xml:space="preserve">1D</t>
  </si>
  <si>
    <t xml:space="preserve">D1</t>
  </si>
  <si>
    <t xml:space="preserve">1Δ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</si>
  <si>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</si>
  <si>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</si>
  <si>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</si>
  <si>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۱د</t>
  </si>
  <si>
    <t xml:space="preserve">2D</t>
  </si>
  <si>
    <t xml:space="preserve">D2</t>
  </si>
  <si>
    <t xml:space="preserve">2Δ</t>
  </si>
  <si>
    <r>
      <rPr>
        <sz val="11"/>
        <color rgb="FF000000"/>
        <rFont val="Calibri"/>
        <family val="2"/>
        <charset val="1"/>
      </rPr>
      <t xml:space="preserve">D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</si>
  <si>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D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</si>
  <si>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D</t>
    </r>
  </si>
  <si>
    <t xml:space="preserve">۲د</t>
  </si>
  <si>
    <t xml:space="preserve">1E</t>
  </si>
  <si>
    <t xml:space="preserve">E1</t>
  </si>
  <si>
    <t xml:space="preserve">1Ε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</si>
  <si>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</si>
  <si>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</si>
  <si>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</si>
  <si>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۱ھ</t>
  </si>
  <si>
    <t xml:space="preserve">2E</t>
  </si>
  <si>
    <t xml:space="preserve">E2</t>
  </si>
  <si>
    <t xml:space="preserve">2Ε</t>
  </si>
  <si>
    <r>
      <rPr>
        <sz val="11"/>
        <color rgb="FF000000"/>
        <rFont val="Calibri"/>
        <family val="2"/>
        <charset val="1"/>
      </rPr>
      <t xml:space="preserve">E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</si>
  <si>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E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</si>
  <si>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E</t>
    </r>
  </si>
  <si>
    <t xml:space="preserve">۲ھ</t>
  </si>
  <si>
    <t xml:space="preserve">1F</t>
  </si>
  <si>
    <t xml:space="preserve">F1</t>
  </si>
  <si>
    <t xml:space="preserve">1ΣΤ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</si>
  <si>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</si>
  <si>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</si>
  <si>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</si>
  <si>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۱و</t>
  </si>
  <si>
    <t xml:space="preserve">2F</t>
  </si>
  <si>
    <t xml:space="preserve">F2</t>
  </si>
  <si>
    <t xml:space="preserve">2ΣΤ</t>
  </si>
  <si>
    <r>
      <rPr>
        <sz val="11"/>
        <color rgb="FF000000"/>
        <rFont val="Calibri"/>
        <family val="2"/>
        <charset val="1"/>
      </rPr>
      <t xml:space="preserve">F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</si>
  <si>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F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</si>
  <si>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F</t>
    </r>
  </si>
  <si>
    <t xml:space="preserve">۲و</t>
  </si>
  <si>
    <t xml:space="preserve">1G</t>
  </si>
  <si>
    <t xml:space="preserve">G1</t>
  </si>
  <si>
    <t xml:space="preserve">1Ζ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</si>
  <si>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</si>
  <si>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1Ġ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</si>
  <si>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</si>
  <si>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</si>
  <si>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۱ز</t>
  </si>
  <si>
    <t xml:space="preserve">2G</t>
  </si>
  <si>
    <t xml:space="preserve">G2</t>
  </si>
  <si>
    <t xml:space="preserve">2Ζ</t>
  </si>
  <si>
    <r>
      <rPr>
        <sz val="11"/>
        <color rgb="FF000000"/>
        <rFont val="Calibri"/>
        <family val="2"/>
        <charset val="1"/>
      </rPr>
      <t xml:space="preserve">G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</si>
  <si>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2Ġ</t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</si>
  <si>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G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</si>
  <si>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G</t>
    </r>
  </si>
  <si>
    <t xml:space="preserve">۲ز</t>
  </si>
  <si>
    <t xml:space="preserve">1H</t>
  </si>
  <si>
    <t xml:space="preserve">H1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</si>
  <si>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Droid Sans Fallback"/>
        <family val="2"/>
        <charset val="1"/>
      </rPr>
      <t xml:space="preserve">위</t>
    </r>
  </si>
  <si>
    <t xml:space="preserve">1Ħ</t>
  </si>
  <si>
    <r>
      <rPr>
        <sz val="11"/>
        <color rgb="FF000000"/>
        <rFont val="Noto Sans Devanagari"/>
        <family val="2"/>
        <charset val="1"/>
      </rPr>
      <t xml:space="preserve">اول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</si>
  <si>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</si>
  <si>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۱ح</t>
  </si>
  <si>
    <t xml:space="preserve">2H</t>
  </si>
  <si>
    <t xml:space="preserve">H2</t>
  </si>
  <si>
    <r>
      <rPr>
        <sz val="11"/>
        <color rgb="FF000000"/>
        <rFont val="Calibri"/>
        <family val="2"/>
        <charset val="1"/>
      </rPr>
      <t xml:space="preserve">H </t>
    </r>
    <r>
      <rPr>
        <sz val="11"/>
        <color rgb="FF000000"/>
        <rFont val="Droid Sans Fallback"/>
        <family val="2"/>
        <charset val="1"/>
      </rPr>
      <t xml:space="preserve">그룹 </t>
    </r>
    <r>
      <rPr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Droid Sans Fallback"/>
        <family val="2"/>
        <charset val="1"/>
      </rPr>
      <t xml:space="preserve">위</t>
    </r>
  </si>
  <si>
    <r>
      <rPr>
        <sz val="11"/>
        <color rgb="FF000000"/>
        <rFont val="Noto Sans Devanagari"/>
        <family val="2"/>
        <charset val="1"/>
      </rPr>
      <t xml:space="preserve">دوم گروه </t>
    </r>
    <r>
      <rPr>
        <sz val="11"/>
        <color rgb="FF000000"/>
        <rFont val="Calibri"/>
        <family val="2"/>
        <charset val="1"/>
      </rPr>
      <t xml:space="preserve">H</t>
    </r>
  </si>
  <si>
    <r>
      <rPr>
        <sz val="11"/>
        <color rgb="FF000000"/>
        <rFont val="Noto Sans Devanagari"/>
        <family val="2"/>
        <charset val="1"/>
      </rPr>
      <t xml:space="preserve">ที่ 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Noto Sans Devanagari"/>
        <family val="2"/>
        <charset val="1"/>
      </rPr>
      <t xml:space="preserve">สาย </t>
    </r>
    <r>
      <rPr>
        <sz val="11"/>
        <color rgb="FF000000"/>
        <rFont val="Calibri"/>
        <family val="2"/>
        <charset val="1"/>
      </rPr>
      <t xml:space="preserve">H</t>
    </r>
  </si>
  <si>
    <t xml:space="preserve">۲ح</t>
  </si>
  <si>
    <t xml:space="preserve">W49</t>
  </si>
  <si>
    <t xml:space="preserve">F49</t>
  </si>
  <si>
    <t xml:space="preserve">Q49</t>
  </si>
  <si>
    <t xml:space="preserve">G49</t>
  </si>
  <si>
    <r>
      <rPr>
        <sz val="11"/>
        <color rgb="FF000000"/>
        <rFont val="Calibri"/>
        <family val="2"/>
        <charset val="1"/>
      </rPr>
      <t xml:space="preserve">49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</si>
  <si>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V49</t>
  </si>
  <si>
    <t xml:space="preserve">მ49</t>
  </si>
  <si>
    <t xml:space="preserve">Ν49</t>
  </si>
  <si>
    <t xml:space="preserve">GY49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</si>
  <si>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</si>
  <si>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L49</t>
  </si>
  <si>
    <t xml:space="preserve">П49</t>
  </si>
  <si>
    <t xml:space="preserve">R49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</si>
  <si>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49</t>
    </r>
  </si>
  <si>
    <t xml:space="preserve">C49</t>
  </si>
  <si>
    <t xml:space="preserve">P49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</si>
  <si>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49</t>
    </r>
  </si>
  <si>
    <t xml:space="preserve">T49</t>
  </si>
  <si>
    <t xml:space="preserve">Переможець 49</t>
  </si>
  <si>
    <t xml:space="preserve">۴۹ جیت</t>
  </si>
  <si>
    <t xml:space="preserve">W50</t>
  </si>
  <si>
    <t xml:space="preserve">F50</t>
  </si>
  <si>
    <t xml:space="preserve">Q50</t>
  </si>
  <si>
    <t xml:space="preserve">G50</t>
  </si>
  <si>
    <r>
      <rPr>
        <sz val="11"/>
        <color rgb="FF000000"/>
        <rFont val="Calibri"/>
        <family val="2"/>
        <charset val="1"/>
      </rPr>
      <t xml:space="preserve">50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</si>
  <si>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V50</t>
  </si>
  <si>
    <t xml:space="preserve">მ50</t>
  </si>
  <si>
    <t xml:space="preserve">Ν50</t>
  </si>
  <si>
    <t xml:space="preserve">GY50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</si>
  <si>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</si>
  <si>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L50</t>
  </si>
  <si>
    <t xml:space="preserve">П50</t>
  </si>
  <si>
    <t xml:space="preserve">R50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</si>
  <si>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50</t>
    </r>
  </si>
  <si>
    <t xml:space="preserve">C50</t>
  </si>
  <si>
    <t xml:space="preserve">P50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</si>
  <si>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50</t>
    </r>
  </si>
  <si>
    <t xml:space="preserve">T50</t>
  </si>
  <si>
    <t xml:space="preserve">Переможець 50</t>
  </si>
  <si>
    <t xml:space="preserve">۵۰ جیت</t>
  </si>
  <si>
    <t xml:space="preserve">W51</t>
  </si>
  <si>
    <t xml:space="preserve">F51</t>
  </si>
  <si>
    <t xml:space="preserve">Q51</t>
  </si>
  <si>
    <t xml:space="preserve">G51</t>
  </si>
  <si>
    <r>
      <rPr>
        <sz val="11"/>
        <color rgb="FF000000"/>
        <rFont val="Calibri"/>
        <family val="2"/>
        <charset val="1"/>
      </rPr>
      <t xml:space="preserve">51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</si>
  <si>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V51</t>
  </si>
  <si>
    <t xml:space="preserve">მ51</t>
  </si>
  <si>
    <t xml:space="preserve">Ν51</t>
  </si>
  <si>
    <t xml:space="preserve">GY51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</si>
  <si>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</si>
  <si>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L51</t>
  </si>
  <si>
    <t xml:space="preserve">П51</t>
  </si>
  <si>
    <t xml:space="preserve">R51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</si>
  <si>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51</t>
    </r>
  </si>
  <si>
    <t xml:space="preserve">C51</t>
  </si>
  <si>
    <t xml:space="preserve">P51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</si>
  <si>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51</t>
    </r>
  </si>
  <si>
    <t xml:space="preserve">T51</t>
  </si>
  <si>
    <t xml:space="preserve">Переможець 51</t>
  </si>
  <si>
    <t xml:space="preserve">۵۱ جیت</t>
  </si>
  <si>
    <t xml:space="preserve">W52</t>
  </si>
  <si>
    <t xml:space="preserve">F52</t>
  </si>
  <si>
    <t xml:space="preserve">Q52</t>
  </si>
  <si>
    <t xml:space="preserve">G52</t>
  </si>
  <si>
    <r>
      <rPr>
        <sz val="11"/>
        <color rgb="FF000000"/>
        <rFont val="Calibri"/>
        <family val="2"/>
        <charset val="1"/>
      </rPr>
      <t xml:space="preserve">52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</si>
  <si>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V52</t>
  </si>
  <si>
    <t xml:space="preserve">მ52</t>
  </si>
  <si>
    <t xml:space="preserve">Ν52</t>
  </si>
  <si>
    <t xml:space="preserve">GY52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</si>
  <si>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</si>
  <si>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L52</t>
  </si>
  <si>
    <t xml:space="preserve">П52</t>
  </si>
  <si>
    <t xml:space="preserve">R52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</si>
  <si>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52</t>
    </r>
  </si>
  <si>
    <t xml:space="preserve">C52</t>
  </si>
  <si>
    <t xml:space="preserve">P52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</si>
  <si>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52</t>
    </r>
  </si>
  <si>
    <t xml:space="preserve">T52</t>
  </si>
  <si>
    <t xml:space="preserve">Переможець 52</t>
  </si>
  <si>
    <t xml:space="preserve">۵۲ جیت</t>
  </si>
  <si>
    <t xml:space="preserve">W53</t>
  </si>
  <si>
    <t xml:space="preserve">F53</t>
  </si>
  <si>
    <t xml:space="preserve">Q53</t>
  </si>
  <si>
    <t xml:space="preserve">G53</t>
  </si>
  <si>
    <r>
      <rPr>
        <sz val="11"/>
        <color rgb="FF000000"/>
        <rFont val="Calibri"/>
        <family val="2"/>
        <charset val="1"/>
      </rPr>
      <t xml:space="preserve">53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</si>
  <si>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V53</t>
  </si>
  <si>
    <t xml:space="preserve">მ53</t>
  </si>
  <si>
    <t xml:space="preserve">Ν53</t>
  </si>
  <si>
    <t xml:space="preserve">GY53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</si>
  <si>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5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</si>
  <si>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L53</t>
  </si>
  <si>
    <t xml:space="preserve">П53</t>
  </si>
  <si>
    <t xml:space="preserve">R53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</si>
  <si>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53</t>
    </r>
  </si>
  <si>
    <t xml:space="preserve">C53</t>
  </si>
  <si>
    <t xml:space="preserve">P53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</si>
  <si>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53</t>
    </r>
  </si>
  <si>
    <t xml:space="preserve">T53</t>
  </si>
  <si>
    <t xml:space="preserve">Переможець 53</t>
  </si>
  <si>
    <t xml:space="preserve">۵۳ جیت</t>
  </si>
  <si>
    <t xml:space="preserve">W54</t>
  </si>
  <si>
    <t xml:space="preserve">F54</t>
  </si>
  <si>
    <t xml:space="preserve">Q54</t>
  </si>
  <si>
    <t xml:space="preserve">G54</t>
  </si>
  <si>
    <r>
      <rPr>
        <sz val="11"/>
        <color rgb="FF000000"/>
        <rFont val="Calibri"/>
        <family val="2"/>
        <charset val="1"/>
      </rPr>
      <t xml:space="preserve">54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</si>
  <si>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V54</t>
  </si>
  <si>
    <t xml:space="preserve">მ54</t>
  </si>
  <si>
    <t xml:space="preserve">Ν54</t>
  </si>
  <si>
    <t xml:space="preserve">GY54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</si>
  <si>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6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</si>
  <si>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L54</t>
  </si>
  <si>
    <t xml:space="preserve">П54</t>
  </si>
  <si>
    <t xml:space="preserve">R54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</si>
  <si>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54</t>
    </r>
  </si>
  <si>
    <t xml:space="preserve">C54</t>
  </si>
  <si>
    <t xml:space="preserve">P54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</si>
  <si>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54</t>
    </r>
  </si>
  <si>
    <t xml:space="preserve">T54</t>
  </si>
  <si>
    <t xml:space="preserve">Переможець 54</t>
  </si>
  <si>
    <t xml:space="preserve">۵۴ جیت</t>
  </si>
  <si>
    <t xml:space="preserve">W55</t>
  </si>
  <si>
    <t xml:space="preserve">F55</t>
  </si>
  <si>
    <t xml:space="preserve">Q55</t>
  </si>
  <si>
    <t xml:space="preserve">G55</t>
  </si>
  <si>
    <r>
      <rPr>
        <sz val="11"/>
        <color rgb="FF000000"/>
        <rFont val="Calibri"/>
        <family val="2"/>
        <charset val="1"/>
      </rPr>
      <t xml:space="preserve">55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</si>
  <si>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V55</t>
  </si>
  <si>
    <t xml:space="preserve">მ55</t>
  </si>
  <si>
    <t xml:space="preserve">Ν55</t>
  </si>
  <si>
    <t xml:space="preserve">GY55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</si>
  <si>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7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</si>
  <si>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L55</t>
  </si>
  <si>
    <t xml:space="preserve">П55</t>
  </si>
  <si>
    <t xml:space="preserve">R55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</si>
  <si>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55</t>
    </r>
  </si>
  <si>
    <t xml:space="preserve">C55</t>
  </si>
  <si>
    <t xml:space="preserve">P55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</si>
  <si>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55</t>
    </r>
  </si>
  <si>
    <t xml:space="preserve">T55</t>
  </si>
  <si>
    <t xml:space="preserve">Переможець 55</t>
  </si>
  <si>
    <t xml:space="preserve">۵۵ جیت</t>
  </si>
  <si>
    <t xml:space="preserve">W56</t>
  </si>
  <si>
    <t xml:space="preserve">F56</t>
  </si>
  <si>
    <t xml:space="preserve">Q56</t>
  </si>
  <si>
    <t xml:space="preserve">G56</t>
  </si>
  <si>
    <r>
      <rPr>
        <sz val="11"/>
        <color rgb="FF000000"/>
        <rFont val="Calibri"/>
        <family val="2"/>
        <charset val="1"/>
      </rPr>
      <t xml:space="preserve">56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</si>
  <si>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V56</t>
  </si>
  <si>
    <t xml:space="preserve">მ56</t>
  </si>
  <si>
    <t xml:space="preserve">Ν56</t>
  </si>
  <si>
    <t xml:space="preserve">GY56</t>
  </si>
  <si>
    <r>
      <rPr>
        <sz val="11"/>
        <color rgb="FF000000"/>
        <rFont val="Calibri"/>
        <family val="2"/>
        <charset val="1"/>
      </rPr>
      <t xml:space="preserve">16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8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</si>
  <si>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L56</t>
  </si>
  <si>
    <t xml:space="preserve">П56</t>
  </si>
  <si>
    <t xml:space="preserve">R56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</si>
  <si>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56</t>
    </r>
  </si>
  <si>
    <t xml:space="preserve">C56</t>
  </si>
  <si>
    <t xml:space="preserve">P56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</si>
  <si>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56</t>
    </r>
  </si>
  <si>
    <t xml:space="preserve">T56</t>
  </si>
  <si>
    <t xml:space="preserve">Переможець 56</t>
  </si>
  <si>
    <t xml:space="preserve">۵۶ جیت</t>
  </si>
  <si>
    <t xml:space="preserve">W57</t>
  </si>
  <si>
    <t xml:space="preserve">F57</t>
  </si>
  <si>
    <t xml:space="preserve">Q57</t>
  </si>
  <si>
    <t xml:space="preserve">G57</t>
  </si>
  <si>
    <r>
      <rPr>
        <sz val="11"/>
        <color rgb="FF000000"/>
        <rFont val="Calibri"/>
        <family val="2"/>
        <charset val="1"/>
      </rPr>
      <t xml:space="preserve">57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</si>
  <si>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V57</t>
  </si>
  <si>
    <t xml:space="preserve">მ57</t>
  </si>
  <si>
    <t xml:space="preserve">Ν57</t>
  </si>
  <si>
    <t xml:space="preserve">GY57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</si>
  <si>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</si>
  <si>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L57</t>
  </si>
  <si>
    <t xml:space="preserve">П57</t>
  </si>
  <si>
    <t xml:space="preserve">R57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</si>
  <si>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57</t>
    </r>
  </si>
  <si>
    <t xml:space="preserve">C57</t>
  </si>
  <si>
    <t xml:space="preserve">P57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</si>
  <si>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57</t>
    </r>
  </si>
  <si>
    <t xml:space="preserve">T57</t>
  </si>
  <si>
    <t xml:space="preserve">Переможець 57</t>
  </si>
  <si>
    <t xml:space="preserve">۵۷ جیت</t>
  </si>
  <si>
    <t xml:space="preserve">W58</t>
  </si>
  <si>
    <t xml:space="preserve">F58</t>
  </si>
  <si>
    <t xml:space="preserve">Q58</t>
  </si>
  <si>
    <t xml:space="preserve">G58</t>
  </si>
  <si>
    <r>
      <rPr>
        <sz val="11"/>
        <color rgb="FF000000"/>
        <rFont val="Calibri"/>
        <family val="2"/>
        <charset val="1"/>
      </rPr>
      <t xml:space="preserve">58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</si>
  <si>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V58</t>
  </si>
  <si>
    <t xml:space="preserve">მ58</t>
  </si>
  <si>
    <t xml:space="preserve">Ν58</t>
  </si>
  <si>
    <t xml:space="preserve">GY58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</si>
  <si>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</si>
  <si>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L58</t>
  </si>
  <si>
    <t xml:space="preserve">П58</t>
  </si>
  <si>
    <t xml:space="preserve">R58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</si>
  <si>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58</t>
    </r>
  </si>
  <si>
    <t xml:space="preserve">C58</t>
  </si>
  <si>
    <t xml:space="preserve">P58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</si>
  <si>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58</t>
    </r>
  </si>
  <si>
    <t xml:space="preserve">T58</t>
  </si>
  <si>
    <t xml:space="preserve">Переможець 58</t>
  </si>
  <si>
    <t xml:space="preserve">۵۸ جیت</t>
  </si>
  <si>
    <t xml:space="preserve">W59</t>
  </si>
  <si>
    <t xml:space="preserve">F59</t>
  </si>
  <si>
    <t xml:space="preserve">Q59</t>
  </si>
  <si>
    <t xml:space="preserve">G59</t>
  </si>
  <si>
    <r>
      <rPr>
        <sz val="11"/>
        <color rgb="FF000000"/>
        <rFont val="Calibri"/>
        <family val="2"/>
        <charset val="1"/>
      </rPr>
      <t xml:space="preserve">59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</si>
  <si>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V59</t>
  </si>
  <si>
    <t xml:space="preserve">მ59</t>
  </si>
  <si>
    <t xml:space="preserve">Ν59</t>
  </si>
  <si>
    <t xml:space="preserve">GY59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</si>
  <si>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3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</si>
  <si>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L59</t>
  </si>
  <si>
    <t xml:space="preserve">П59</t>
  </si>
  <si>
    <t xml:space="preserve">R59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</si>
  <si>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59</t>
    </r>
  </si>
  <si>
    <t xml:space="preserve">C59</t>
  </si>
  <si>
    <t xml:space="preserve">P59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</si>
  <si>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59</t>
    </r>
  </si>
  <si>
    <t xml:space="preserve">T59</t>
  </si>
  <si>
    <t xml:space="preserve">Переможець 59</t>
  </si>
  <si>
    <t xml:space="preserve">۵۹ جیت</t>
  </si>
  <si>
    <t xml:space="preserve">W60</t>
  </si>
  <si>
    <t xml:space="preserve">F60</t>
  </si>
  <si>
    <t xml:space="preserve">Q60</t>
  </si>
  <si>
    <t xml:space="preserve">G60</t>
  </si>
  <si>
    <r>
      <rPr>
        <sz val="11"/>
        <color rgb="FF000000"/>
        <rFont val="Calibri"/>
        <family val="2"/>
        <charset val="1"/>
      </rPr>
      <t xml:space="preserve">60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</si>
  <si>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V60</t>
  </si>
  <si>
    <t xml:space="preserve">მ60</t>
  </si>
  <si>
    <t xml:space="preserve">Ν60</t>
  </si>
  <si>
    <t xml:space="preserve">GY60</t>
  </si>
  <si>
    <r>
      <rPr>
        <sz val="11"/>
        <color rgb="FF000000"/>
        <rFont val="Calibri"/>
        <family val="2"/>
        <charset val="1"/>
      </rPr>
      <t xml:space="preserve">8</t>
    </r>
    <r>
      <rPr>
        <sz val="11"/>
        <color rgb="FF000000"/>
        <rFont val="Droid Sans Fallback"/>
        <family val="2"/>
        <charset val="1"/>
      </rPr>
      <t xml:space="preserve">강전 경기</t>
    </r>
    <r>
      <rPr>
        <sz val="11"/>
        <color rgb="FF000000"/>
        <rFont val="Calibri"/>
        <family val="2"/>
        <charset val="1"/>
      </rPr>
      <t xml:space="preserve">4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</si>
  <si>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L60</t>
  </si>
  <si>
    <t xml:space="preserve">П60</t>
  </si>
  <si>
    <t xml:space="preserve">R60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</si>
  <si>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60</t>
    </r>
  </si>
  <si>
    <t xml:space="preserve">C60</t>
  </si>
  <si>
    <t xml:space="preserve">P60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</si>
  <si>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60</t>
    </r>
  </si>
  <si>
    <t xml:space="preserve">T60</t>
  </si>
  <si>
    <t xml:space="preserve">Переможець 60</t>
  </si>
  <si>
    <t xml:space="preserve">۶۰ جیت</t>
  </si>
  <si>
    <t xml:space="preserve">W61</t>
  </si>
  <si>
    <t xml:space="preserve">F61</t>
  </si>
  <si>
    <t xml:space="preserve">Q61</t>
  </si>
  <si>
    <t xml:space="preserve">G61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</si>
  <si>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</si>
  <si>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V61</t>
  </si>
  <si>
    <t xml:space="preserve">მ61</t>
  </si>
  <si>
    <t xml:space="preserve">Ν61</t>
  </si>
  <si>
    <t xml:space="preserve">GY61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</si>
  <si>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</si>
  <si>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L61</t>
  </si>
  <si>
    <t xml:space="preserve">П61</t>
  </si>
  <si>
    <t xml:space="preserve">R61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</si>
  <si>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</si>
  <si>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C61</t>
  </si>
  <si>
    <t xml:space="preserve">P61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</si>
  <si>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</si>
  <si>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T61</t>
  </si>
  <si>
    <t xml:space="preserve">Переможець 61</t>
  </si>
  <si>
    <t xml:space="preserve">۶۱ جیت</t>
  </si>
  <si>
    <t xml:space="preserve">W62</t>
  </si>
  <si>
    <t xml:space="preserve">F62</t>
  </si>
  <si>
    <t xml:space="preserve">Q62</t>
  </si>
  <si>
    <t xml:space="preserve">G62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</si>
  <si>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胜者</t>
    </r>
  </si>
  <si>
    <t xml:space="preserve">V62</t>
  </si>
  <si>
    <t xml:space="preserve">მ62</t>
  </si>
  <si>
    <t xml:space="preserve">Ν62</t>
  </si>
  <si>
    <t xml:space="preserve">GY62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</si>
  <si>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승자</t>
    </r>
  </si>
  <si>
    <t xml:space="preserve">L62</t>
  </si>
  <si>
    <t xml:space="preserve">П62</t>
  </si>
  <si>
    <t xml:space="preserve">R62</t>
  </si>
  <si>
    <r>
      <rPr>
        <sz val="11"/>
        <color rgb="FF000000"/>
        <rFont val="Noto Sans Devanagari"/>
        <family val="2"/>
        <charset val="1"/>
      </rPr>
      <t xml:space="preserve">برنده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</si>
  <si>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C62</t>
  </si>
  <si>
    <t xml:space="preserve">P62</t>
  </si>
  <si>
    <r>
      <rPr>
        <sz val="11"/>
        <color rgb="FF000000"/>
        <rFont val="Noto Sans Devanagari"/>
        <family val="2"/>
        <charset val="1"/>
      </rPr>
      <t xml:space="preserve">ผู้ชนะนัดที่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</si>
  <si>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T62</t>
  </si>
  <si>
    <t xml:space="preserve">Переможець 62</t>
  </si>
  <si>
    <t xml:space="preserve">۶۲ جیت</t>
  </si>
  <si>
    <t xml:space="preserve">H61</t>
  </si>
  <si>
    <t xml:space="preserve">M61</t>
  </si>
  <si>
    <r>
      <rPr>
        <sz val="11"/>
        <color rgb="FF000000"/>
        <rFont val="Calibri"/>
        <family val="2"/>
        <charset val="1"/>
      </rPr>
      <t xml:space="preserve">61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</si>
  <si>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წ61</t>
  </si>
  <si>
    <t xml:space="preserve">Η61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</si>
  <si>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</si>
  <si>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И61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</si>
  <si>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61</t>
    </r>
  </si>
  <si>
    <t xml:space="preserve">I61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</si>
  <si>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61</t>
    </r>
  </si>
  <si>
    <t xml:space="preserve">B61</t>
  </si>
  <si>
    <t xml:space="preserve">Переможений 61</t>
  </si>
  <si>
    <t xml:space="preserve">۶۱ ہار</t>
  </si>
  <si>
    <t xml:space="preserve">H62</t>
  </si>
  <si>
    <t xml:space="preserve">M62</t>
  </si>
  <si>
    <r>
      <rPr>
        <sz val="11"/>
        <color rgb="FF000000"/>
        <rFont val="Calibri"/>
        <family val="2"/>
        <charset val="1"/>
      </rPr>
      <t xml:space="preserve">62</t>
    </r>
    <r>
      <rPr>
        <sz val="11"/>
        <color rgb="FF000000"/>
        <rFont val="Droid Sans Fallback"/>
        <family val="2"/>
        <charset val="1"/>
      </rPr>
      <t xml:space="preserve">负者</t>
    </r>
  </si>
  <si>
    <t xml:space="preserve">წ62</t>
  </si>
  <si>
    <t xml:space="preserve">Η62</t>
  </si>
  <si>
    <r>
      <rPr>
        <sz val="11"/>
        <color rgb="FF000000"/>
        <rFont val="Droid Sans Fallback"/>
        <family val="2"/>
        <charset val="1"/>
      </rPr>
      <t xml:space="preserve">준결승 경기</t>
    </r>
    <r>
      <rPr>
        <sz val="11"/>
        <color rgb="FF000000"/>
        <rFont val="Calibri"/>
        <family val="2"/>
        <charset val="1"/>
      </rPr>
      <t xml:space="preserve">2 </t>
    </r>
    <r>
      <rPr>
        <sz val="11"/>
        <color rgb="FF000000"/>
        <rFont val="Droid Sans Fallback"/>
        <family val="2"/>
        <charset val="1"/>
      </rPr>
      <t xml:space="preserve">패자</t>
    </r>
  </si>
  <si>
    <t xml:space="preserve">И62</t>
  </si>
  <si>
    <r>
      <rPr>
        <sz val="11"/>
        <color rgb="FF000000"/>
        <rFont val="Noto Sans Devanagari"/>
        <family val="2"/>
        <charset val="1"/>
      </rPr>
      <t xml:space="preserve">بازنده بازی </t>
    </r>
    <r>
      <rPr>
        <sz val="11"/>
        <color rgb="FF000000"/>
        <rFont val="Calibri"/>
        <family val="2"/>
        <charset val="1"/>
      </rPr>
      <t xml:space="preserve">62</t>
    </r>
  </si>
  <si>
    <t xml:space="preserve">I62</t>
  </si>
  <si>
    <r>
      <rPr>
        <sz val="11"/>
        <color rgb="FF000000"/>
        <rFont val="Noto Sans Devanagari"/>
        <family val="2"/>
        <charset val="1"/>
      </rPr>
      <t xml:space="preserve">ผู้แพ้นัดที่ </t>
    </r>
    <r>
      <rPr>
        <sz val="11"/>
        <color rgb="FF000000"/>
        <rFont val="Calibri"/>
        <family val="2"/>
        <charset val="1"/>
      </rPr>
      <t xml:space="preserve">62</t>
    </r>
  </si>
  <si>
    <t xml:space="preserve">B62</t>
  </si>
  <si>
    <t xml:space="preserve">Переможений 62</t>
  </si>
  <si>
    <t xml:space="preserve">۶۲ ہار</t>
  </si>
  <si>
    <t xml:space="preserve">World Champion 2018</t>
  </si>
  <si>
    <t xml:space="preserve">Kampioni </t>
  </si>
  <si>
    <r>
      <rPr>
        <sz val="11"/>
        <color rgb="FF000000"/>
        <rFont val="Noto Sans Devanagari"/>
        <family val="2"/>
        <charset val="1"/>
      </rPr>
      <t xml:space="preserve">بطل العالم </t>
    </r>
    <r>
      <rPr>
        <sz val="11"/>
        <color rgb="FF000000"/>
        <rFont val="Calibri"/>
        <family val="2"/>
        <charset val="1"/>
      </rPr>
      <t xml:space="preserve">2018</t>
    </r>
  </si>
  <si>
    <t xml:space="preserve">Աշխարհի 2018թ. Հաղթող</t>
  </si>
  <si>
    <t xml:space="preserve">Dünya Çempionu 2018</t>
  </si>
  <si>
    <t xml:space="preserve">Световен шампион 2018</t>
  </si>
  <si>
    <t xml:space="preserve">Campió del Món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</si>
  <si>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世界杯冠军</t>
    </r>
  </si>
  <si>
    <t xml:space="preserve">Svjetski prvak 2018</t>
  </si>
  <si>
    <t xml:space="preserve">Mistr světa 2018</t>
  </si>
  <si>
    <t xml:space="preserve">Verdensmester 2018</t>
  </si>
  <si>
    <t xml:space="preserve">Wereldkampioen 2018</t>
  </si>
  <si>
    <t xml:space="preserve">Champion du Monde 2018</t>
  </si>
  <si>
    <t xml:space="preserve">მსოფლიოს ჩემპიონი 2018</t>
  </si>
  <si>
    <t xml:space="preserve">Weltmeister 2018</t>
  </si>
  <si>
    <t xml:space="preserve">Πρωταθλητής 2018</t>
  </si>
  <si>
    <r>
      <rPr>
        <sz val="11"/>
        <color rgb="FF000000"/>
        <rFont val="Noto Sans Devanagari"/>
        <family val="2"/>
        <charset val="1"/>
      </rPr>
      <t xml:space="preserve">גביע העולם </t>
    </r>
    <r>
      <rPr>
        <sz val="11"/>
        <color rgb="FF000000"/>
        <rFont val="Calibri"/>
        <family val="2"/>
        <charset val="1"/>
      </rPr>
      <t xml:space="preserve">2018</t>
    </r>
  </si>
  <si>
    <t xml:space="preserve">A labdarúgó-VB győztes csapata:</t>
  </si>
  <si>
    <t xml:space="preserve">Juara Piala Dunia 2018</t>
  </si>
  <si>
    <t xml:space="preserve">Heimsmeistarar 2018</t>
  </si>
  <si>
    <t xml:space="preserve">Coppa del Mondo 2018</t>
  </si>
  <si>
    <r>
      <rPr>
        <sz val="11"/>
        <color rgb="FF000000"/>
        <rFont val="Calibri"/>
        <family val="2"/>
        <charset val="1"/>
      </rPr>
      <t xml:space="preserve">2018</t>
    </r>
    <r>
      <rPr>
        <sz val="11"/>
        <color rgb="FF000000"/>
        <rFont val="Droid Sans Fallback"/>
        <family val="2"/>
        <charset val="1"/>
      </rPr>
      <t xml:space="preserve">년 우승국가</t>
    </r>
  </si>
  <si>
    <t xml:space="preserve">Pasaulio Čempionas 2018</t>
  </si>
  <si>
    <t xml:space="preserve">Светски шампион 2018</t>
  </si>
  <si>
    <t xml:space="preserve">Rebbieħ tat-Tazza tad-Dinja 2018</t>
  </si>
  <si>
    <t xml:space="preserve">Vinner 2018</t>
  </si>
  <si>
    <r>
      <rPr>
        <sz val="11"/>
        <color rgb="FF000000"/>
        <rFont val="Noto Sans Devanagari"/>
        <family val="2"/>
        <charset val="1"/>
      </rPr>
      <t xml:space="preserve">قهرمان جام جهانی </t>
    </r>
    <r>
      <rPr>
        <sz val="11"/>
        <color rgb="FF000000"/>
        <rFont val="Calibri"/>
        <family val="2"/>
        <charset val="1"/>
      </rPr>
      <t xml:space="preserve">2018</t>
    </r>
  </si>
  <si>
    <t xml:space="preserve">Mistrz Świata 2018</t>
  </si>
  <si>
    <t xml:space="preserve">Vencedor do Campeonato do Mundo 2018</t>
  </si>
  <si>
    <t xml:space="preserve">Campioana Mondiala 2018</t>
  </si>
  <si>
    <t xml:space="preserve">Чемпион Мира 2018</t>
  </si>
  <si>
    <t xml:space="preserve">Svjetski šampion 2018</t>
  </si>
  <si>
    <t xml:space="preserve">Majster sveta 2018</t>
  </si>
  <si>
    <t xml:space="preserve">Svetovno prvak 2018</t>
  </si>
  <si>
    <t xml:space="preserve">Campeón 2018</t>
  </si>
  <si>
    <t xml:space="preserve">Världsmästare 2018</t>
  </si>
  <si>
    <r>
      <rPr>
        <sz val="11"/>
        <color rgb="FF000000"/>
        <rFont val="Noto Sans Devanagari"/>
        <family val="2"/>
        <charset val="1"/>
      </rPr>
      <t xml:space="preserve">แชมป์โลกปี </t>
    </r>
    <r>
      <rPr>
        <sz val="11"/>
        <color rgb="FF000000"/>
        <rFont val="Calibri"/>
        <family val="2"/>
        <charset val="1"/>
      </rPr>
      <t xml:space="preserve">2018</t>
    </r>
  </si>
  <si>
    <t xml:space="preserve">2018 Dünya Şampiyonu</t>
  </si>
  <si>
    <t xml:space="preserve">Vòng Chung Kết 2018</t>
  </si>
  <si>
    <t xml:space="preserve">Чемпіон Світу 2018</t>
  </si>
  <si>
    <t xml:space="preserve">ورلڈ چیمپینس</t>
  </si>
  <si>
    <t xml:space="preserve">2018 йил Жахон Чемпиони</t>
  </si>
  <si>
    <t xml:space="preserve">en</t>
  </si>
  <si>
    <t xml:space="preserve">sq</t>
  </si>
  <si>
    <t xml:space="preserve">ar</t>
  </si>
  <si>
    <t xml:space="preserve">hy</t>
  </si>
  <si>
    <t xml:space="preserve">az</t>
  </si>
  <si>
    <t xml:space="preserve">bg</t>
  </si>
  <si>
    <t xml:space="preserve">ca</t>
  </si>
  <si>
    <t xml:space="preserve">zh-CN</t>
  </si>
  <si>
    <t xml:space="preserve">zh-TW</t>
  </si>
  <si>
    <t xml:space="preserve">hr</t>
  </si>
  <si>
    <t xml:space="preserve">cs</t>
  </si>
  <si>
    <t xml:space="preserve">da</t>
  </si>
  <si>
    <t xml:space="preserve">nl</t>
  </si>
  <si>
    <t xml:space="preserve">fr</t>
  </si>
  <si>
    <t xml:space="preserve">ka</t>
  </si>
  <si>
    <t xml:space="preserve">de</t>
  </si>
  <si>
    <t xml:space="preserve">el</t>
  </si>
  <si>
    <t xml:space="preserve">iw</t>
  </si>
  <si>
    <t xml:space="preserve">hu</t>
  </si>
  <si>
    <t xml:space="preserve">id</t>
  </si>
  <si>
    <t xml:space="preserve">is</t>
  </si>
  <si>
    <t xml:space="preserve">it</t>
  </si>
  <si>
    <t xml:space="preserve">ko</t>
  </si>
  <si>
    <t xml:space="preserve">lt</t>
  </si>
  <si>
    <t xml:space="preserve">mk</t>
  </si>
  <si>
    <t xml:space="preserve">mt</t>
  </si>
  <si>
    <t xml:space="preserve">no</t>
  </si>
  <si>
    <t xml:space="preserve">fa</t>
  </si>
  <si>
    <t xml:space="preserve">pl</t>
  </si>
  <si>
    <t xml:space="preserve">pt</t>
  </si>
  <si>
    <t xml:space="preserve">ro</t>
  </si>
  <si>
    <t xml:space="preserve">ru</t>
  </si>
  <si>
    <t xml:space="preserve">sr</t>
  </si>
  <si>
    <t xml:space="preserve">sk</t>
  </si>
  <si>
    <t xml:space="preserve">sl</t>
  </si>
  <si>
    <t xml:space="preserve">es</t>
  </si>
  <si>
    <t xml:space="preserve">sv</t>
  </si>
  <si>
    <t xml:space="preserve">th</t>
  </si>
  <si>
    <t xml:space="preserve">tr</t>
  </si>
  <si>
    <t xml:space="preserve">vi</t>
  </si>
  <si>
    <t xml:space="preserve">uk</t>
  </si>
  <si>
    <t xml:space="preserve">ur</t>
  </si>
  <si>
    <t xml:space="preserve">Settings</t>
  </si>
  <si>
    <t xml:space="preserve">Group Round Sorting</t>
  </si>
  <si>
    <t xml:space="preserve">Language</t>
  </si>
  <si>
    <t xml:space="preserve">Step #1</t>
  </si>
  <si>
    <t xml:space="preserve">Points</t>
  </si>
  <si>
    <t xml:space="preserve">Summer Time</t>
  </si>
  <si>
    <t xml:space="preserve">No</t>
  </si>
  <si>
    <t xml:space="preserve">Step #2</t>
  </si>
  <si>
    <t xml:space="preserve">Goal Difference</t>
  </si>
  <si>
    <t xml:space="preserve">Step #3</t>
  </si>
  <si>
    <t xml:space="preserve">Goals Scored</t>
  </si>
  <si>
    <t xml:space="preserve">GTM-Time</t>
  </si>
  <si>
    <t xml:space="preserve">GMT - 4:00</t>
  </si>
  <si>
    <t xml:space="preserve">Step #4</t>
  </si>
  <si>
    <t xml:space="preserve">Concerned teams (Pnt, GF-GA, GF)</t>
  </si>
  <si>
    <t xml:space="preserve">Step #5</t>
  </si>
  <si>
    <t xml:space="preserve">FIFA Rank</t>
  </si>
  <si>
    <t xml:space="preserve">Minutes</t>
  </si>
  <si>
    <t xml:space="preserve">+0 min</t>
  </si>
  <si>
    <t xml:space="preserve">Favorite Team</t>
  </si>
  <si>
    <t xml:space="preserve">Language ID</t>
  </si>
  <si>
    <t xml:space="preserve">GMT Delta</t>
  </si>
  <si>
    <t xml:space="preserve">GMT - 11:00</t>
  </si>
  <si>
    <t xml:space="preserve">GMT - 10:00</t>
  </si>
  <si>
    <t xml:space="preserve">GMT - 9:00</t>
  </si>
  <si>
    <t xml:space="preserve">GMT - 8:00</t>
  </si>
  <si>
    <t xml:space="preserve">GMT - 7:00</t>
  </si>
  <si>
    <t xml:space="preserve">GMT - 6:00</t>
  </si>
  <si>
    <t xml:space="preserve">GMT - 5:00</t>
  </si>
  <si>
    <t xml:space="preserve">GMT - 3:00</t>
  </si>
  <si>
    <t xml:space="preserve">GMT - 2:00</t>
  </si>
  <si>
    <t xml:space="preserve">GMT - 1:00</t>
  </si>
  <si>
    <t xml:space="preserve">GMT</t>
  </si>
  <si>
    <t xml:space="preserve">GMT + 1:00</t>
  </si>
  <si>
    <t xml:space="preserve">GMT + 2:00</t>
  </si>
  <si>
    <t xml:space="preserve">GMT + 3:00</t>
  </si>
  <si>
    <t xml:space="preserve">GMT + 4:00</t>
  </si>
  <si>
    <t xml:space="preserve">GMT + 5:00</t>
  </si>
  <si>
    <t xml:space="preserve">GMT + 6:00</t>
  </si>
  <si>
    <t xml:space="preserve">GMT + 7:00</t>
  </si>
  <si>
    <t xml:space="preserve">GMT + 8:00</t>
  </si>
  <si>
    <t xml:space="preserve">GMT + 9:00</t>
  </si>
  <si>
    <t xml:space="preserve">GMT + 10:00</t>
  </si>
  <si>
    <t xml:space="preserve">GMT + 11:00</t>
  </si>
  <si>
    <t xml:space="preserve">GMT + 12:00</t>
  </si>
  <si>
    <t xml:space="preserve">+15 min</t>
  </si>
  <si>
    <t xml:space="preserve">+30 min</t>
  </si>
  <si>
    <t xml:space="preserve">+45 min</t>
  </si>
  <si>
    <t xml:space="preserve">itype</t>
  </si>
  <si>
    <t xml:space="preserve">Home Page: www.excely.com</t>
  </si>
  <si>
    <t xml:space="preserve">Date + Time + GMT</t>
  </si>
  <si>
    <t xml:space="preserve">GF</t>
  </si>
  <si>
    <t xml:space="preserve">GA</t>
  </si>
  <si>
    <t xml:space="preserve">Place</t>
  </si>
  <si>
    <t xml:space="preserve">Delta</t>
  </si>
  <si>
    <t xml:space="preserve">Pnt</t>
  </si>
  <si>
    <t xml:space="preserve">FIFA</t>
  </si>
  <si>
    <t xml:space="preserve">Rank</t>
  </si>
  <si>
    <t xml:space="preserve">F-A</t>
  </si>
  <si>
    <t xml:space="preserve">FIFA World Cup
Historical Data
1930 - 2014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</si>
</sst>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&quot;;&quot;&quot;;&quot;&quot;;&quot;&quot;"/>
    <numFmt numFmtId="166" formatCode="H:MM;@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Devanagari"/>
      <family val="2"/>
      <charset val="1"/>
    </font>
    <font>
      <sz val="11"/>
      <color rgb="FF000000"/>
      <name val="Droid Sans Fallback"/>
      <family val="2"/>
      <charset val="1"/>
    </font>
    <font>
      <sz val="10"/>
      <name val="Calibri"/>
      <family val="2"/>
      <charset val="1"/>
    </font>
    <font>
      <b val="true"/>
      <sz val="12"/>
      <name val="Calibri"/>
      <family val="2"/>
      <charset val="1"/>
    </font>
    <font>
      <sz val="8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FF"/>
      <name val="Calibri"/>
      <family val="2"/>
      <charset val="1"/>
    </font>
    <font>
      <sz val="10"/>
      <color rgb="FFFFFFFF"/>
      <name val="Calibri"/>
      <family val="2"/>
      <charset val="1"/>
    </font>
    <font>
      <sz val="3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8"/>
      <color rgb="FF0000FF"/>
      <name val="Calibri"/>
      <family val="2"/>
      <charset val="1"/>
    </font>
    <font>
      <sz val="16"/>
      <color rgb="FFFFFFFF"/>
      <name val="Calibri"/>
      <family val="2"/>
      <charset val="1"/>
    </font>
    <font>
      <sz val="14"/>
      <color rgb="FF0000FF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6"/>
      <name val="Calibri"/>
      <family val="2"/>
      <charset val="1"/>
    </font>
    <font>
      <u val="single"/>
      <sz val="1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6"/>
      <color rgb="FF0000FF"/>
      <name val="Calibri"/>
      <family val="2"/>
      <charset val="1"/>
    </font>
    <font>
      <sz val="16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99CCFF"/>
        <bgColor rgb="FFB2B2B2"/>
      </patternFill>
    </fill>
    <fill>
      <patternFill patternType="solid">
        <fgColor rgb="FFCCFFFF"/>
        <bgColor rgb="FFCC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6DCE5"/>
        <bgColor rgb="FFDEEBF7"/>
      </patternFill>
    </fill>
  </fills>
  <borders count="61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>
        <color rgb="FF8497B0"/>
      </left>
      <right style="thin">
        <color rgb="FF8497B0"/>
      </right>
      <top style="thin">
        <color rgb="FF8497B0"/>
      </top>
      <bottom style="thin">
        <color rgb="FF8497B0"/>
      </bottom>
      <diagonal/>
    </border>
    <border diagonalUp="false" diagonalDown="false"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  <diagonal/>
    </border>
    <border diagonalUp="false" diagonalDown="false">
      <left style="thin">
        <color rgb="FF3366FF"/>
      </left>
      <right/>
      <top style="thin">
        <color rgb="FF8497B0"/>
      </top>
      <bottom style="hair">
        <color rgb="FF3366FF"/>
      </bottom>
      <diagonal/>
    </border>
    <border diagonalUp="false" diagonalDown="false">
      <left/>
      <right/>
      <top style="thin">
        <color rgb="FF8497B0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8497B0"/>
      </top>
      <bottom style="hair">
        <color rgb="FF3366FF"/>
      </bottom>
      <diagonal/>
    </border>
    <border diagonalUp="false" diagonalDown="false">
      <left/>
      <right style="thin">
        <color rgb="FF8497B0"/>
      </right>
      <top/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hair">
        <color rgb="FF3366FF"/>
      </bottom>
      <diagonal/>
    </border>
    <border diagonalUp="false" diagonalDown="false">
      <left/>
      <right/>
      <top style="hair">
        <color rgb="FF3366FF"/>
      </top>
      <bottom style="hair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thin">
        <color rgb="FF3366FF"/>
      </bottom>
      <diagonal/>
    </border>
    <border diagonalUp="false" diagonalDown="false">
      <left/>
      <right/>
      <top style="thin">
        <color rgb="FF3366FF"/>
      </top>
      <bottom style="thin">
        <color rgb="FF3366FF"/>
      </bottom>
      <diagonal/>
    </border>
    <border diagonalUp="false" diagonalDown="false">
      <left/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thin">
        <color rgb="FF3366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thin">
        <color rgb="FF3366FF"/>
      </top>
      <bottom style="hair">
        <color rgb="FF0000FF"/>
      </bottom>
      <diagonal/>
    </border>
    <border diagonalUp="false" diagonalDown="false">
      <left/>
      <right/>
      <top/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hair">
        <color rgb="FF0000FF"/>
      </bottom>
      <diagonal/>
    </border>
    <border diagonalUp="false" diagonalDown="false">
      <left style="thin">
        <color rgb="FF3366FF"/>
      </left>
      <right style="thin">
        <color rgb="FF3366FF"/>
      </right>
      <top style="thin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/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thin">
        <color rgb="FF3366FF"/>
      </top>
      <bottom style="hair">
        <color rgb="FF3366FF"/>
      </bottom>
      <diagonal/>
    </border>
    <border diagonalUp="false" diagonalDown="false">
      <left style="thin">
        <color rgb="FF3366FF"/>
      </left>
      <right/>
      <top style="hair">
        <color rgb="FF3366FF"/>
      </top>
      <bottom style="thin">
        <color rgb="FF3366FF"/>
      </bottom>
      <diagonal/>
    </border>
    <border diagonalUp="false" diagonalDown="false">
      <left style="thin">
        <color rgb="FF3366FF"/>
      </left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 style="hair">
        <color rgb="FF3366FF"/>
      </left>
      <right style="thin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thin">
        <color rgb="FF8497B0"/>
      </top>
      <bottom/>
      <diagonal/>
    </border>
    <border diagonalUp="false" diagonalDown="false">
      <left style="thin">
        <color rgb="FF3366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hair">
        <color rgb="FF0000FF"/>
      </right>
      <top style="hair">
        <color rgb="FF0000FF"/>
      </top>
      <bottom style="thin">
        <color rgb="FF3366FF"/>
      </bottom>
      <diagonal/>
    </border>
    <border diagonalUp="false" diagonalDown="false">
      <left style="hair">
        <color rgb="FF0000FF"/>
      </left>
      <right style="thin">
        <color rgb="FF3366FF"/>
      </right>
      <top style="hair">
        <color rgb="FF0000FF"/>
      </top>
      <bottom style="thin">
        <color rgb="FF3366FF"/>
      </bottom>
      <diagonal/>
    </border>
    <border diagonalUp="false" diagonalDown="false">
      <left/>
      <right style="thin">
        <color rgb="FF8497B0"/>
      </right>
      <top/>
      <bottom/>
      <diagonal/>
    </border>
    <border diagonalUp="false" diagonalDown="false">
      <left style="thin">
        <color rgb="FF8497B0"/>
      </left>
      <right/>
      <top style="thin">
        <color rgb="FF8497B0"/>
      </top>
      <bottom/>
      <diagonal/>
    </border>
    <border diagonalUp="false" diagonalDown="false">
      <left/>
      <right style="thin">
        <color rgb="FF8497B0"/>
      </right>
      <top/>
      <bottom style="thin">
        <color rgb="FF8497B0"/>
      </bottom>
      <diagonal/>
    </border>
    <border diagonalUp="false" diagonalDown="false">
      <left style="thin">
        <color rgb="FF8497B0"/>
      </left>
      <right/>
      <top/>
      <bottom/>
      <diagonal/>
    </border>
    <border diagonalUp="false" diagonalDown="false">
      <left/>
      <right/>
      <top style="medium">
        <color rgb="FF0000FF"/>
      </top>
      <bottom/>
      <diagonal/>
    </border>
    <border diagonalUp="false" diagonalDown="false">
      <left/>
      <right/>
      <top style="hair">
        <color rgb="FF3366FF"/>
      </top>
      <bottom style="thin">
        <color rgb="FF3366FF"/>
      </bottom>
      <diagonal/>
    </border>
    <border diagonalUp="false" diagonalDown="false">
      <left/>
      <right style="hair">
        <color rgb="FF3366FF"/>
      </right>
      <top style="hair">
        <color rgb="FF3366FF"/>
      </top>
      <bottom style="thin">
        <color rgb="FF3366FF"/>
      </bottom>
      <diagonal/>
    </border>
    <border diagonalUp="false" diagonalDown="false">
      <left/>
      <right style="thin">
        <color rgb="FF8497B0"/>
      </right>
      <top style="hair">
        <color rgb="FF3366FF"/>
      </top>
      <bottom style="thin">
        <color rgb="FF3366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2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3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6" fillId="2" borderId="1" xfId="21" applyFont="true" applyBorder="false" applyAlignment="true" applyProtection="true">
      <alignment horizontal="left" vertical="center" textRotation="0" wrapText="false" indent="15" shrinkToFit="false"/>
      <protection locked="fals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6" fillId="4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4" borderId="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" fillId="3" borderId="12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" fillId="3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8" fillId="3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8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6" fillId="3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3" borderId="5" xfId="0" applyFont="true" applyBorder="true" applyAlignment="true" applyProtection="true">
      <alignment horizontal="left" vertical="bottom" textRotation="0" wrapText="false" indent="15" shrinkToFit="false"/>
      <protection locked="true" hidden="true"/>
    </xf>
    <xf numFmtId="164" fontId="6" fillId="4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6" fillId="4" borderId="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false" applyAlignment="true" applyProtection="true">
      <alignment horizontal="center" vertical="center" textRotation="0" wrapText="false" indent="0" shrinkToFit="true"/>
      <protection locked="true" hidden="tru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true"/>
    </xf>
    <xf numFmtId="165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12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4" fillId="0" borderId="0" xfId="2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5" fillId="5" borderId="1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6" fillId="6" borderId="18" xfId="2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2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1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3" xfId="0" applyFont="tru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25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0" fillId="7" borderId="2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2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2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29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31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17" fillId="5" borderId="32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3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17" fillId="5" borderId="34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0" xfId="0" applyFont="fals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35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3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37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38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39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4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4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2" xfId="0" applyFont="fals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7" borderId="43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6" xfId="0" applyFont="false" applyBorder="true" applyAlignment="true" applyProtection="true">
      <alignment horizontal="left" vertical="center" textRotation="0" wrapText="false" indent="0" shrinkToFit="true"/>
      <protection locked="true" hidden="true"/>
    </xf>
    <xf numFmtId="164" fontId="6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2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7" borderId="49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7" borderId="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0" fillId="0" borderId="5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51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52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3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general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4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5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56" xfId="0" applyFont="fals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0" fillId="7" borderId="0" xfId="0" applyFont="false" applyBorder="false" applyAlignment="true" applyProtection="true">
      <alignment horizontal="right" vertical="center" textRotation="0" wrapText="false" indent="0" shrinkToFit="false"/>
      <protection locked="true" hidden="true"/>
    </xf>
    <xf numFmtId="164" fontId="18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1" fillId="0" borderId="57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22" fillId="6" borderId="19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7" borderId="46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6" fillId="7" borderId="58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58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7" borderId="59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7" borderId="48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0" fillId="7" borderId="60" xfId="0" applyFont="false" applyBorder="true" applyAlignment="true" applyProtection="true">
      <alignment horizontal="lef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true"/>
      <protection locked="true" hidden="true"/>
    </xf>
    <xf numFmtId="166" fontId="0" fillId="0" borderId="0" xfId="0" applyFont="false" applyBorder="true" applyAlignment="true" applyProtection="true">
      <alignment horizontal="center" vertical="center" textRotation="0" wrapText="false" indent="0" shrinkToFit="true"/>
      <protection locked="true" hidden="true"/>
    </xf>
    <xf numFmtId="164" fontId="0" fillId="0" borderId="0" xfId="0" applyFont="false" applyBorder="true" applyAlignment="true" applyProtection="true">
      <alignment horizontal="right" vertical="center" textRotation="0" wrapText="false" indent="15" shrinkToFit="true"/>
      <protection locked="true" hidden="tru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false" applyBorder="true" applyAlignment="true" applyProtection="true">
      <alignment horizontal="left" vertical="center" textRotation="0" wrapText="false" indent="15" shrinkToFit="true"/>
      <protection locked="true" hidden="tru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100"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DEEBF7"/>
        </patternFill>
      </fill>
    </dxf>
    <dxf>
      <font>
        <name val="Calibri"/>
        <charset val="1"/>
        <family val="2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0"/>
        <i val="0"/>
        <color rgb="FFFFFFFF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color rgb="FFFF0000"/>
      </font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0000FF"/>
      </font>
    </dxf>
    <dxf>
      <font>
        <name val="Calibri"/>
        <charset val="1"/>
        <family val="2"/>
        <b val="1"/>
        <i val="0"/>
        <color rgb="FF0000FF"/>
      </font>
      <fill>
        <patternFill>
          <bgColor rgb="FFFFE699"/>
        </patternFill>
      </fill>
    </dxf>
    <dxf>
      <font>
        <name val="Calibri"/>
        <charset val="1"/>
        <family val="2"/>
        <b val="1"/>
        <i val="0"/>
        <color rgb="FFFF0000"/>
      </font>
    </dxf>
    <dxf>
      <font>
        <name val="Calibri"/>
        <charset val="1"/>
        <family val="2"/>
        <b val="1"/>
        <i val="0"/>
        <color rgb="FFFF0000"/>
      </font>
      <fill>
        <patternFill>
          <bgColor rgb="FFFFE699"/>
        </patternFill>
      </fill>
    </dxf>
    <dxf>
      <font>
        <name val="Calibri"/>
        <charset val="1"/>
        <family val="2"/>
        <b val="0"/>
        <i val="1"/>
        <color rgb="FF008080"/>
      </font>
    </dxf>
    <dxf>
      <font>
        <name val="Calibri"/>
        <charset val="1"/>
        <family val="2"/>
        <b val="0"/>
        <i val="1"/>
        <color rgb="FF00808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  <dxf>
      <font>
        <name val="Calibri"/>
        <charset val="1"/>
        <family val="2"/>
        <color rgb="FF000000"/>
      </font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CCFFCC"/>
      <rgbColor rgb="FFFFFF99"/>
      <rgbColor rgb="FF99CCFF"/>
      <rgbColor rgb="FFFF99CC"/>
      <rgbColor rgb="FFCC99FF"/>
      <rgbColor rgb="FFFFE699"/>
      <rgbColor rgb="FF3366FF"/>
      <rgbColor rgb="FF33CCCC"/>
      <rgbColor rgb="FF99CC00"/>
      <rgbColor rgb="FFFFC000"/>
      <rgbColor rgb="FFFF9900"/>
      <rgbColor rgb="FFFF6600"/>
      <rgbColor rgb="FF4472C4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89.png"/><Relationship Id="rId2" Type="http://schemas.openxmlformats.org/officeDocument/2006/relationships/image" Target="../media/image290.png"/><Relationship Id="rId3" Type="http://schemas.openxmlformats.org/officeDocument/2006/relationships/image" Target="../media/image291.png"/><Relationship Id="rId4" Type="http://schemas.openxmlformats.org/officeDocument/2006/relationships/image" Target="../media/image292.png"/><Relationship Id="rId5" Type="http://schemas.openxmlformats.org/officeDocument/2006/relationships/image" Target="../media/image293.png"/><Relationship Id="rId6" Type="http://schemas.openxmlformats.org/officeDocument/2006/relationships/image" Target="../media/image294.png"/><Relationship Id="rId7" Type="http://schemas.openxmlformats.org/officeDocument/2006/relationships/image" Target="../media/image295.png"/><Relationship Id="rId8" Type="http://schemas.openxmlformats.org/officeDocument/2006/relationships/image" Target="../media/image296.png"/><Relationship Id="rId9" Type="http://schemas.openxmlformats.org/officeDocument/2006/relationships/image" Target="../media/image297.png"/><Relationship Id="rId10" Type="http://schemas.openxmlformats.org/officeDocument/2006/relationships/image" Target="../media/image298.png"/><Relationship Id="rId11" Type="http://schemas.openxmlformats.org/officeDocument/2006/relationships/image" Target="../media/image299.png"/><Relationship Id="rId12" Type="http://schemas.openxmlformats.org/officeDocument/2006/relationships/image" Target="../media/image300.png"/><Relationship Id="rId13" Type="http://schemas.openxmlformats.org/officeDocument/2006/relationships/image" Target="../media/image301.png"/><Relationship Id="rId14" Type="http://schemas.openxmlformats.org/officeDocument/2006/relationships/image" Target="../media/image302.png"/><Relationship Id="rId15" Type="http://schemas.openxmlformats.org/officeDocument/2006/relationships/image" Target="../media/image303.png"/><Relationship Id="rId16" Type="http://schemas.openxmlformats.org/officeDocument/2006/relationships/image" Target="../media/image304.png"/><Relationship Id="rId17" Type="http://schemas.openxmlformats.org/officeDocument/2006/relationships/image" Target="../media/image305.png"/><Relationship Id="rId18" Type="http://schemas.openxmlformats.org/officeDocument/2006/relationships/image" Target="../media/image306.png"/><Relationship Id="rId19" Type="http://schemas.openxmlformats.org/officeDocument/2006/relationships/image" Target="../media/image307.png"/><Relationship Id="rId20" Type="http://schemas.openxmlformats.org/officeDocument/2006/relationships/image" Target="../media/image308.png"/><Relationship Id="rId21" Type="http://schemas.openxmlformats.org/officeDocument/2006/relationships/image" Target="../media/image309.png"/><Relationship Id="rId22" Type="http://schemas.openxmlformats.org/officeDocument/2006/relationships/image" Target="../media/image310.png"/><Relationship Id="rId23" Type="http://schemas.openxmlformats.org/officeDocument/2006/relationships/image" Target="../media/image311.png"/><Relationship Id="rId24" Type="http://schemas.openxmlformats.org/officeDocument/2006/relationships/image" Target="../media/image312.png"/><Relationship Id="rId25" Type="http://schemas.openxmlformats.org/officeDocument/2006/relationships/image" Target="../media/image313.png"/><Relationship Id="rId26" Type="http://schemas.openxmlformats.org/officeDocument/2006/relationships/image" Target="../media/image314.png"/><Relationship Id="rId27" Type="http://schemas.openxmlformats.org/officeDocument/2006/relationships/image" Target="../media/image315.png"/><Relationship Id="rId28" Type="http://schemas.openxmlformats.org/officeDocument/2006/relationships/image" Target="../media/image316.png"/><Relationship Id="rId29" Type="http://schemas.openxmlformats.org/officeDocument/2006/relationships/image" Target="../media/image317.png"/><Relationship Id="rId30" Type="http://schemas.openxmlformats.org/officeDocument/2006/relationships/image" Target="../media/image318.png"/><Relationship Id="rId31" Type="http://schemas.openxmlformats.org/officeDocument/2006/relationships/image" Target="../media/image319.png"/><Relationship Id="rId32" Type="http://schemas.openxmlformats.org/officeDocument/2006/relationships/image" Target="../media/image320.png"/><Relationship Id="rId33" Type="http://schemas.openxmlformats.org/officeDocument/2006/relationships/image" Target="../media/image321.png"/><Relationship Id="rId34" Type="http://schemas.openxmlformats.org/officeDocument/2006/relationships/image" Target="../media/image322.png"/><Relationship Id="rId35" Type="http://schemas.openxmlformats.org/officeDocument/2006/relationships/image" Target="../media/image323.png"/><Relationship Id="rId36" Type="http://schemas.openxmlformats.org/officeDocument/2006/relationships/image" Target="../media/image324.png"/><Relationship Id="rId37" Type="http://schemas.openxmlformats.org/officeDocument/2006/relationships/image" Target="../media/image325.png"/><Relationship Id="rId38" Type="http://schemas.openxmlformats.org/officeDocument/2006/relationships/image" Target="../media/image326.png"/><Relationship Id="rId39" Type="http://schemas.openxmlformats.org/officeDocument/2006/relationships/image" Target="../media/image327.png"/><Relationship Id="rId40" Type="http://schemas.openxmlformats.org/officeDocument/2006/relationships/image" Target="../media/image328.png"/><Relationship Id="rId41" Type="http://schemas.openxmlformats.org/officeDocument/2006/relationships/image" Target="../media/image329.png"/><Relationship Id="rId42" Type="http://schemas.openxmlformats.org/officeDocument/2006/relationships/image" Target="../media/image330.png"/><Relationship Id="rId43" Type="http://schemas.openxmlformats.org/officeDocument/2006/relationships/image" Target="../media/image331.png"/><Relationship Id="rId44" Type="http://schemas.openxmlformats.org/officeDocument/2006/relationships/image" Target="../media/image332.png"/><Relationship Id="rId45" Type="http://schemas.openxmlformats.org/officeDocument/2006/relationships/image" Target="../media/image333.png"/><Relationship Id="rId46" Type="http://schemas.openxmlformats.org/officeDocument/2006/relationships/image" Target="../media/image334.png"/><Relationship Id="rId47" Type="http://schemas.openxmlformats.org/officeDocument/2006/relationships/image" Target="../media/image335.png"/><Relationship Id="rId48" Type="http://schemas.openxmlformats.org/officeDocument/2006/relationships/image" Target="../media/image336.png"/><Relationship Id="rId49" Type="http://schemas.openxmlformats.org/officeDocument/2006/relationships/image" Target="../media/image337.png"/><Relationship Id="rId50" Type="http://schemas.openxmlformats.org/officeDocument/2006/relationships/image" Target="../media/image338.png"/><Relationship Id="rId51" Type="http://schemas.openxmlformats.org/officeDocument/2006/relationships/image" Target="../media/image339.png"/><Relationship Id="rId52" Type="http://schemas.openxmlformats.org/officeDocument/2006/relationships/image" Target="../media/image340.png"/><Relationship Id="rId53" Type="http://schemas.openxmlformats.org/officeDocument/2006/relationships/image" Target="../media/image341.png"/><Relationship Id="rId54" Type="http://schemas.openxmlformats.org/officeDocument/2006/relationships/image" Target="../media/image342.png"/><Relationship Id="rId55" Type="http://schemas.openxmlformats.org/officeDocument/2006/relationships/image" Target="../media/image343.png"/><Relationship Id="rId56" Type="http://schemas.openxmlformats.org/officeDocument/2006/relationships/image" Target="../media/image344.png"/><Relationship Id="rId57" Type="http://schemas.openxmlformats.org/officeDocument/2006/relationships/image" Target="../media/image345.png"/><Relationship Id="rId58" Type="http://schemas.openxmlformats.org/officeDocument/2006/relationships/image" Target="../media/image346.png"/><Relationship Id="rId59" Type="http://schemas.openxmlformats.org/officeDocument/2006/relationships/image" Target="../media/image347.png"/><Relationship Id="rId60" Type="http://schemas.openxmlformats.org/officeDocument/2006/relationships/image" Target="../media/image348.png"/><Relationship Id="rId61" Type="http://schemas.openxmlformats.org/officeDocument/2006/relationships/image" Target="../media/image349.png"/><Relationship Id="rId62" Type="http://schemas.openxmlformats.org/officeDocument/2006/relationships/image" Target="../media/image350.png"/><Relationship Id="rId63" Type="http://schemas.openxmlformats.org/officeDocument/2006/relationships/image" Target="../media/image351.png"/><Relationship Id="rId64" Type="http://schemas.openxmlformats.org/officeDocument/2006/relationships/image" Target="../media/image352.png"/><Relationship Id="rId65" Type="http://schemas.openxmlformats.org/officeDocument/2006/relationships/image" Target="../media/image353.png"/><Relationship Id="rId66" Type="http://schemas.openxmlformats.org/officeDocument/2006/relationships/image" Target="../media/image354.png"/><Relationship Id="rId67" Type="http://schemas.openxmlformats.org/officeDocument/2006/relationships/image" Target="../media/image355.png"/><Relationship Id="rId68" Type="http://schemas.openxmlformats.org/officeDocument/2006/relationships/image" Target="../media/image356.png"/><Relationship Id="rId69" Type="http://schemas.openxmlformats.org/officeDocument/2006/relationships/image" Target="../media/image357.png"/><Relationship Id="rId70" Type="http://schemas.openxmlformats.org/officeDocument/2006/relationships/image" Target="../media/image358.png"/><Relationship Id="rId71" Type="http://schemas.openxmlformats.org/officeDocument/2006/relationships/image" Target="../media/image359.png"/><Relationship Id="rId72" Type="http://schemas.openxmlformats.org/officeDocument/2006/relationships/image" Target="../media/image360.png"/><Relationship Id="rId73" Type="http://schemas.openxmlformats.org/officeDocument/2006/relationships/image" Target="../media/image361.png"/><Relationship Id="rId74" Type="http://schemas.openxmlformats.org/officeDocument/2006/relationships/image" Target="../media/image362.png"/><Relationship Id="rId75" Type="http://schemas.openxmlformats.org/officeDocument/2006/relationships/image" Target="../media/image363.png"/><Relationship Id="rId76" Type="http://schemas.openxmlformats.org/officeDocument/2006/relationships/image" Target="../media/image364.png"/><Relationship Id="rId77" Type="http://schemas.openxmlformats.org/officeDocument/2006/relationships/image" Target="../media/image365.png"/><Relationship Id="rId78" Type="http://schemas.openxmlformats.org/officeDocument/2006/relationships/image" Target="../media/image366.png"/><Relationship Id="rId79" Type="http://schemas.openxmlformats.org/officeDocument/2006/relationships/image" Target="../media/image367.png"/><Relationship Id="rId80" Type="http://schemas.openxmlformats.org/officeDocument/2006/relationships/image" Target="../media/image368.png"/><Relationship Id="rId81" Type="http://schemas.openxmlformats.org/officeDocument/2006/relationships/image" Target="../media/image369.png"/><Relationship Id="rId82" Type="http://schemas.openxmlformats.org/officeDocument/2006/relationships/image" Target="../media/image370.png"/><Relationship Id="rId83" Type="http://schemas.openxmlformats.org/officeDocument/2006/relationships/image" Target="../media/image371.png"/><Relationship Id="rId84" Type="http://schemas.openxmlformats.org/officeDocument/2006/relationships/image" Target="../media/image372.png"/><Relationship Id="rId85" Type="http://schemas.openxmlformats.org/officeDocument/2006/relationships/image" Target="../media/image373.png"/><Relationship Id="rId86" Type="http://schemas.openxmlformats.org/officeDocument/2006/relationships/image" Target="../media/image374.png"/><Relationship Id="rId87" Type="http://schemas.openxmlformats.org/officeDocument/2006/relationships/image" Target="../media/image375.png"/><Relationship Id="rId88" Type="http://schemas.openxmlformats.org/officeDocument/2006/relationships/image" Target="../media/image376.png"/><Relationship Id="rId89" Type="http://schemas.openxmlformats.org/officeDocument/2006/relationships/image" Target="../media/image377.png"/><Relationship Id="rId90" Type="http://schemas.openxmlformats.org/officeDocument/2006/relationships/image" Target="../media/image378.png"/><Relationship Id="rId91" Type="http://schemas.openxmlformats.org/officeDocument/2006/relationships/image" Target="../media/image379.png"/><Relationship Id="rId92" Type="http://schemas.openxmlformats.org/officeDocument/2006/relationships/image" Target="../media/image380.png"/><Relationship Id="rId93" Type="http://schemas.openxmlformats.org/officeDocument/2006/relationships/image" Target="../media/image381.png"/><Relationship Id="rId94" Type="http://schemas.openxmlformats.org/officeDocument/2006/relationships/image" Target="../media/image382.png"/><Relationship Id="rId95" Type="http://schemas.openxmlformats.org/officeDocument/2006/relationships/image" Target="../media/image383.png"/><Relationship Id="rId96" Type="http://schemas.openxmlformats.org/officeDocument/2006/relationships/image" Target="../media/image38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1261800</xdr:colOff>
      <xdr:row>6</xdr:row>
      <xdr:rowOff>22680</xdr:rowOff>
    </xdr:from>
    <xdr:to>
      <xdr:col>4</xdr:col>
      <xdr:colOff>1486440</xdr:colOff>
      <xdr:row>6</xdr:row>
      <xdr:rowOff>169920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927240" y="1232280"/>
          <a:ext cx="224640" cy="147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22</xdr:row>
      <xdr:rowOff>18720</xdr:rowOff>
    </xdr:from>
    <xdr:to>
      <xdr:col>4</xdr:col>
      <xdr:colOff>1486440</xdr:colOff>
      <xdr:row>22</xdr:row>
      <xdr:rowOff>165960</xdr:rowOff>
    </xdr:to>
    <xdr:pic>
      <xdr:nvPicPr>
        <xdr:cNvPr id="1" name="Picture 5" descr=""/>
        <xdr:cNvPicPr/>
      </xdr:nvPicPr>
      <xdr:blipFill>
        <a:blip r:embed="rId2"/>
        <a:stretch/>
      </xdr:blipFill>
      <xdr:spPr>
        <a:xfrm>
          <a:off x="3927240" y="4276080"/>
          <a:ext cx="224640" cy="147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38</xdr:row>
      <xdr:rowOff>18720</xdr:rowOff>
    </xdr:from>
    <xdr:to>
      <xdr:col>7</xdr:col>
      <xdr:colOff>248040</xdr:colOff>
      <xdr:row>38</xdr:row>
      <xdr:rowOff>165960</xdr:rowOff>
    </xdr:to>
    <xdr:pic>
      <xdr:nvPicPr>
        <xdr:cNvPr id="2" name="Picture 6" descr=""/>
        <xdr:cNvPicPr/>
      </xdr:nvPicPr>
      <xdr:blipFill>
        <a:blip r:embed="rId3"/>
        <a:stretch/>
      </xdr:blipFill>
      <xdr:spPr>
        <a:xfrm>
          <a:off x="5456880" y="7324200"/>
          <a:ext cx="224640" cy="147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6</xdr:row>
      <xdr:rowOff>22680</xdr:rowOff>
    </xdr:from>
    <xdr:to>
      <xdr:col>7</xdr:col>
      <xdr:colOff>245160</xdr:colOff>
      <xdr:row>6</xdr:row>
      <xdr:rowOff>171360</xdr:rowOff>
    </xdr:to>
    <xdr:pic>
      <xdr:nvPicPr>
        <xdr:cNvPr id="3" name="Picture 4" descr=""/>
        <xdr:cNvPicPr/>
      </xdr:nvPicPr>
      <xdr:blipFill>
        <a:blip r:embed="rId4"/>
        <a:stretch/>
      </xdr:blipFill>
      <xdr:spPr>
        <a:xfrm>
          <a:off x="5456880" y="12322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23</xdr:row>
      <xdr:rowOff>22680</xdr:rowOff>
    </xdr:from>
    <xdr:to>
      <xdr:col>7</xdr:col>
      <xdr:colOff>245160</xdr:colOff>
      <xdr:row>23</xdr:row>
      <xdr:rowOff>171360</xdr:rowOff>
    </xdr:to>
    <xdr:pic>
      <xdr:nvPicPr>
        <xdr:cNvPr id="4" name="Picture 9" descr=""/>
        <xdr:cNvPicPr/>
      </xdr:nvPicPr>
      <xdr:blipFill>
        <a:blip r:embed="rId5"/>
        <a:stretch/>
      </xdr:blipFill>
      <xdr:spPr>
        <a:xfrm>
          <a:off x="5456880" y="44708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39</xdr:row>
      <xdr:rowOff>23400</xdr:rowOff>
    </xdr:from>
    <xdr:to>
      <xdr:col>4</xdr:col>
      <xdr:colOff>1483560</xdr:colOff>
      <xdr:row>39</xdr:row>
      <xdr:rowOff>172080</xdr:rowOff>
    </xdr:to>
    <xdr:pic>
      <xdr:nvPicPr>
        <xdr:cNvPr id="5" name="Picture 10" descr=""/>
        <xdr:cNvPicPr/>
      </xdr:nvPicPr>
      <xdr:blipFill>
        <a:blip r:embed="rId6"/>
        <a:stretch/>
      </xdr:blipFill>
      <xdr:spPr>
        <a:xfrm>
          <a:off x="3927240" y="75193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7</xdr:row>
      <xdr:rowOff>22680</xdr:rowOff>
    </xdr:from>
    <xdr:to>
      <xdr:col>4</xdr:col>
      <xdr:colOff>1483560</xdr:colOff>
      <xdr:row>7</xdr:row>
      <xdr:rowOff>171360</xdr:rowOff>
    </xdr:to>
    <xdr:pic>
      <xdr:nvPicPr>
        <xdr:cNvPr id="6" name="Picture 8" descr=""/>
        <xdr:cNvPicPr/>
      </xdr:nvPicPr>
      <xdr:blipFill>
        <a:blip r:embed="rId7"/>
        <a:stretch/>
      </xdr:blipFill>
      <xdr:spPr>
        <a:xfrm>
          <a:off x="3927240" y="1422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28080</xdr:colOff>
      <xdr:row>22</xdr:row>
      <xdr:rowOff>23400</xdr:rowOff>
    </xdr:from>
    <xdr:to>
      <xdr:col>7</xdr:col>
      <xdr:colOff>249840</xdr:colOff>
      <xdr:row>22</xdr:row>
      <xdr:rowOff>172080</xdr:rowOff>
    </xdr:to>
    <xdr:pic>
      <xdr:nvPicPr>
        <xdr:cNvPr id="7" name="Picture 13" descr=""/>
        <xdr:cNvPicPr/>
      </xdr:nvPicPr>
      <xdr:blipFill>
        <a:blip r:embed="rId8"/>
        <a:stretch/>
      </xdr:blipFill>
      <xdr:spPr>
        <a:xfrm>
          <a:off x="5461560" y="42807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39</xdr:row>
      <xdr:rowOff>23400</xdr:rowOff>
    </xdr:from>
    <xdr:to>
      <xdr:col>7</xdr:col>
      <xdr:colOff>245160</xdr:colOff>
      <xdr:row>39</xdr:row>
      <xdr:rowOff>172080</xdr:rowOff>
    </xdr:to>
    <xdr:pic>
      <xdr:nvPicPr>
        <xdr:cNvPr id="8" name="Picture 14" descr=""/>
        <xdr:cNvPicPr/>
      </xdr:nvPicPr>
      <xdr:blipFill>
        <a:blip r:embed="rId9"/>
        <a:stretch/>
      </xdr:blipFill>
      <xdr:spPr>
        <a:xfrm>
          <a:off x="5456880" y="75193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7</xdr:row>
      <xdr:rowOff>31680</xdr:rowOff>
    </xdr:from>
    <xdr:to>
      <xdr:col>7</xdr:col>
      <xdr:colOff>240480</xdr:colOff>
      <xdr:row>7</xdr:row>
      <xdr:rowOff>180360</xdr:rowOff>
    </xdr:to>
    <xdr:pic>
      <xdr:nvPicPr>
        <xdr:cNvPr id="9" name="Picture 12" descr=""/>
        <xdr:cNvPicPr/>
      </xdr:nvPicPr>
      <xdr:blipFill>
        <a:blip r:embed="rId10"/>
        <a:stretch/>
      </xdr:blipFill>
      <xdr:spPr>
        <a:xfrm>
          <a:off x="5452200" y="1431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23</xdr:row>
      <xdr:rowOff>36360</xdr:rowOff>
    </xdr:from>
    <xdr:to>
      <xdr:col>4</xdr:col>
      <xdr:colOff>1483560</xdr:colOff>
      <xdr:row>23</xdr:row>
      <xdr:rowOff>185040</xdr:rowOff>
    </xdr:to>
    <xdr:pic>
      <xdr:nvPicPr>
        <xdr:cNvPr id="10" name="Picture 17" descr=""/>
        <xdr:cNvPicPr/>
      </xdr:nvPicPr>
      <xdr:blipFill>
        <a:blip r:embed="rId11"/>
        <a:stretch/>
      </xdr:blipFill>
      <xdr:spPr>
        <a:xfrm>
          <a:off x="3927240" y="44845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38</xdr:row>
      <xdr:rowOff>28080</xdr:rowOff>
    </xdr:from>
    <xdr:to>
      <xdr:col>4</xdr:col>
      <xdr:colOff>1483560</xdr:colOff>
      <xdr:row>38</xdr:row>
      <xdr:rowOff>176760</xdr:rowOff>
    </xdr:to>
    <xdr:pic>
      <xdr:nvPicPr>
        <xdr:cNvPr id="11" name="Picture 18" descr=""/>
        <xdr:cNvPicPr/>
      </xdr:nvPicPr>
      <xdr:blipFill>
        <a:blip r:embed="rId12"/>
        <a:stretch/>
      </xdr:blipFill>
      <xdr:spPr>
        <a:xfrm>
          <a:off x="3927240" y="73335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8</xdr:row>
      <xdr:rowOff>23400</xdr:rowOff>
    </xdr:from>
    <xdr:to>
      <xdr:col>4</xdr:col>
      <xdr:colOff>1483560</xdr:colOff>
      <xdr:row>8</xdr:row>
      <xdr:rowOff>172080</xdr:rowOff>
    </xdr:to>
    <xdr:pic>
      <xdr:nvPicPr>
        <xdr:cNvPr id="12" name="Picture 16" descr=""/>
        <xdr:cNvPicPr/>
      </xdr:nvPicPr>
      <xdr:blipFill>
        <a:blip r:embed="rId13"/>
        <a:stretch/>
      </xdr:blipFill>
      <xdr:spPr>
        <a:xfrm>
          <a:off x="3927240" y="16138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24</xdr:row>
      <xdr:rowOff>22680</xdr:rowOff>
    </xdr:from>
    <xdr:to>
      <xdr:col>4</xdr:col>
      <xdr:colOff>1483560</xdr:colOff>
      <xdr:row>24</xdr:row>
      <xdr:rowOff>171360</xdr:rowOff>
    </xdr:to>
    <xdr:pic>
      <xdr:nvPicPr>
        <xdr:cNvPr id="13" name="Picture 21" descr=""/>
        <xdr:cNvPicPr/>
      </xdr:nvPicPr>
      <xdr:blipFill>
        <a:blip r:embed="rId14"/>
        <a:stretch/>
      </xdr:blipFill>
      <xdr:spPr>
        <a:xfrm>
          <a:off x="3927240" y="46612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40</xdr:row>
      <xdr:rowOff>23400</xdr:rowOff>
    </xdr:from>
    <xdr:to>
      <xdr:col>7</xdr:col>
      <xdr:colOff>245160</xdr:colOff>
      <xdr:row>40</xdr:row>
      <xdr:rowOff>172080</xdr:rowOff>
    </xdr:to>
    <xdr:pic>
      <xdr:nvPicPr>
        <xdr:cNvPr id="14" name="Picture 22" descr=""/>
        <xdr:cNvPicPr/>
      </xdr:nvPicPr>
      <xdr:blipFill>
        <a:blip r:embed="rId15"/>
        <a:stretch/>
      </xdr:blipFill>
      <xdr:spPr>
        <a:xfrm>
          <a:off x="5456880" y="77097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8</xdr:row>
      <xdr:rowOff>23400</xdr:rowOff>
    </xdr:from>
    <xdr:to>
      <xdr:col>7</xdr:col>
      <xdr:colOff>240480</xdr:colOff>
      <xdr:row>8</xdr:row>
      <xdr:rowOff>172080</xdr:rowOff>
    </xdr:to>
    <xdr:pic>
      <xdr:nvPicPr>
        <xdr:cNvPr id="15" name="Picture 20" descr=""/>
        <xdr:cNvPicPr/>
      </xdr:nvPicPr>
      <xdr:blipFill>
        <a:blip r:embed="rId16"/>
        <a:stretch/>
      </xdr:blipFill>
      <xdr:spPr>
        <a:xfrm>
          <a:off x="5452200" y="16138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25</xdr:row>
      <xdr:rowOff>27360</xdr:rowOff>
    </xdr:from>
    <xdr:to>
      <xdr:col>7</xdr:col>
      <xdr:colOff>245160</xdr:colOff>
      <xdr:row>25</xdr:row>
      <xdr:rowOff>176040</xdr:rowOff>
    </xdr:to>
    <xdr:pic>
      <xdr:nvPicPr>
        <xdr:cNvPr id="16" name="Picture 25" descr=""/>
        <xdr:cNvPicPr/>
      </xdr:nvPicPr>
      <xdr:blipFill>
        <a:blip r:embed="rId17"/>
        <a:stretch/>
      </xdr:blipFill>
      <xdr:spPr>
        <a:xfrm>
          <a:off x="5456880" y="485640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41</xdr:row>
      <xdr:rowOff>22680</xdr:rowOff>
    </xdr:from>
    <xdr:to>
      <xdr:col>4</xdr:col>
      <xdr:colOff>1478880</xdr:colOff>
      <xdr:row>41</xdr:row>
      <xdr:rowOff>171360</xdr:rowOff>
    </xdr:to>
    <xdr:pic>
      <xdr:nvPicPr>
        <xdr:cNvPr id="17" name="Picture 26" descr=""/>
        <xdr:cNvPicPr/>
      </xdr:nvPicPr>
      <xdr:blipFill>
        <a:blip r:embed="rId18"/>
        <a:stretch/>
      </xdr:blipFill>
      <xdr:spPr>
        <a:xfrm>
          <a:off x="3922560" y="78998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41</xdr:row>
      <xdr:rowOff>27360</xdr:rowOff>
    </xdr:from>
    <xdr:to>
      <xdr:col>7</xdr:col>
      <xdr:colOff>240480</xdr:colOff>
      <xdr:row>41</xdr:row>
      <xdr:rowOff>176040</xdr:rowOff>
    </xdr:to>
    <xdr:pic>
      <xdr:nvPicPr>
        <xdr:cNvPr id="18" name="Picture 24" descr=""/>
        <xdr:cNvPicPr/>
      </xdr:nvPicPr>
      <xdr:blipFill>
        <a:blip r:embed="rId19"/>
        <a:stretch/>
      </xdr:blipFill>
      <xdr:spPr>
        <a:xfrm>
          <a:off x="5452200" y="79045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24</xdr:row>
      <xdr:rowOff>22680</xdr:rowOff>
    </xdr:from>
    <xdr:to>
      <xdr:col>7</xdr:col>
      <xdr:colOff>245160</xdr:colOff>
      <xdr:row>24</xdr:row>
      <xdr:rowOff>171360</xdr:rowOff>
    </xdr:to>
    <xdr:pic>
      <xdr:nvPicPr>
        <xdr:cNvPr id="19" name="Picture 29" descr=""/>
        <xdr:cNvPicPr/>
      </xdr:nvPicPr>
      <xdr:blipFill>
        <a:blip r:embed="rId20"/>
        <a:stretch/>
      </xdr:blipFill>
      <xdr:spPr>
        <a:xfrm>
          <a:off x="5456880" y="46612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9</xdr:row>
      <xdr:rowOff>18720</xdr:rowOff>
    </xdr:from>
    <xdr:to>
      <xdr:col>4</xdr:col>
      <xdr:colOff>1483560</xdr:colOff>
      <xdr:row>9</xdr:row>
      <xdr:rowOff>167400</xdr:rowOff>
    </xdr:to>
    <xdr:pic>
      <xdr:nvPicPr>
        <xdr:cNvPr id="20" name="Picture 30" descr=""/>
        <xdr:cNvPicPr/>
      </xdr:nvPicPr>
      <xdr:blipFill>
        <a:blip r:embed="rId21"/>
        <a:stretch/>
      </xdr:blipFill>
      <xdr:spPr>
        <a:xfrm>
          <a:off x="3927240" y="17996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9</xdr:row>
      <xdr:rowOff>23400</xdr:rowOff>
    </xdr:from>
    <xdr:to>
      <xdr:col>7</xdr:col>
      <xdr:colOff>240480</xdr:colOff>
      <xdr:row>9</xdr:row>
      <xdr:rowOff>172080</xdr:rowOff>
    </xdr:to>
    <xdr:pic>
      <xdr:nvPicPr>
        <xdr:cNvPr id="21" name="Picture 28" descr=""/>
        <xdr:cNvPicPr/>
      </xdr:nvPicPr>
      <xdr:blipFill>
        <a:blip r:embed="rId22"/>
        <a:stretch/>
      </xdr:blipFill>
      <xdr:spPr>
        <a:xfrm>
          <a:off x="5452200" y="18043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25</xdr:row>
      <xdr:rowOff>18000</xdr:rowOff>
    </xdr:from>
    <xdr:to>
      <xdr:col>4</xdr:col>
      <xdr:colOff>1483560</xdr:colOff>
      <xdr:row>25</xdr:row>
      <xdr:rowOff>166680</xdr:rowOff>
    </xdr:to>
    <xdr:pic>
      <xdr:nvPicPr>
        <xdr:cNvPr id="22" name="Picture 33" descr=""/>
        <xdr:cNvPicPr/>
      </xdr:nvPicPr>
      <xdr:blipFill>
        <a:blip r:embed="rId23"/>
        <a:stretch/>
      </xdr:blipFill>
      <xdr:spPr>
        <a:xfrm>
          <a:off x="3927240" y="48470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40</xdr:row>
      <xdr:rowOff>18720</xdr:rowOff>
    </xdr:from>
    <xdr:to>
      <xdr:col>4</xdr:col>
      <xdr:colOff>1483560</xdr:colOff>
      <xdr:row>40</xdr:row>
      <xdr:rowOff>167400</xdr:rowOff>
    </xdr:to>
    <xdr:pic>
      <xdr:nvPicPr>
        <xdr:cNvPr id="23" name="Picture 34" descr=""/>
        <xdr:cNvPicPr/>
      </xdr:nvPicPr>
      <xdr:blipFill>
        <a:blip r:embed="rId24"/>
        <a:stretch/>
      </xdr:blipFill>
      <xdr:spPr>
        <a:xfrm>
          <a:off x="3927240" y="77050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10</xdr:row>
      <xdr:rowOff>23400</xdr:rowOff>
    </xdr:from>
    <xdr:to>
      <xdr:col>4</xdr:col>
      <xdr:colOff>1483560</xdr:colOff>
      <xdr:row>10</xdr:row>
      <xdr:rowOff>172080</xdr:rowOff>
    </xdr:to>
    <xdr:pic>
      <xdr:nvPicPr>
        <xdr:cNvPr id="24" name="Picture 32" descr=""/>
        <xdr:cNvPicPr/>
      </xdr:nvPicPr>
      <xdr:blipFill>
        <a:blip r:embed="rId25"/>
        <a:stretch/>
      </xdr:blipFill>
      <xdr:spPr>
        <a:xfrm>
          <a:off x="3927240" y="19947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26</xdr:row>
      <xdr:rowOff>23400</xdr:rowOff>
    </xdr:from>
    <xdr:to>
      <xdr:col>4</xdr:col>
      <xdr:colOff>1483560</xdr:colOff>
      <xdr:row>26</xdr:row>
      <xdr:rowOff>172080</xdr:rowOff>
    </xdr:to>
    <xdr:pic>
      <xdr:nvPicPr>
        <xdr:cNvPr id="25" name="Picture 37" descr=""/>
        <xdr:cNvPicPr/>
      </xdr:nvPicPr>
      <xdr:blipFill>
        <a:blip r:embed="rId26"/>
        <a:stretch/>
      </xdr:blipFill>
      <xdr:spPr>
        <a:xfrm>
          <a:off x="3927240" y="50428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42</xdr:row>
      <xdr:rowOff>22680</xdr:rowOff>
    </xdr:from>
    <xdr:to>
      <xdr:col>7</xdr:col>
      <xdr:colOff>240480</xdr:colOff>
      <xdr:row>42</xdr:row>
      <xdr:rowOff>171360</xdr:rowOff>
    </xdr:to>
    <xdr:pic>
      <xdr:nvPicPr>
        <xdr:cNvPr id="26" name="Picture 38" descr=""/>
        <xdr:cNvPicPr/>
      </xdr:nvPicPr>
      <xdr:blipFill>
        <a:blip r:embed="rId27"/>
        <a:stretch/>
      </xdr:blipFill>
      <xdr:spPr>
        <a:xfrm>
          <a:off x="5452200" y="80902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10</xdr:row>
      <xdr:rowOff>23400</xdr:rowOff>
    </xdr:from>
    <xdr:to>
      <xdr:col>7</xdr:col>
      <xdr:colOff>240480</xdr:colOff>
      <xdr:row>10</xdr:row>
      <xdr:rowOff>172080</xdr:rowOff>
    </xdr:to>
    <xdr:pic>
      <xdr:nvPicPr>
        <xdr:cNvPr id="27" name="Picture 36" descr=""/>
        <xdr:cNvPicPr/>
      </xdr:nvPicPr>
      <xdr:blipFill>
        <a:blip r:embed="rId28"/>
        <a:stretch/>
      </xdr:blipFill>
      <xdr:spPr>
        <a:xfrm>
          <a:off x="5452200" y="19947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27</xdr:row>
      <xdr:rowOff>18720</xdr:rowOff>
    </xdr:from>
    <xdr:to>
      <xdr:col>7</xdr:col>
      <xdr:colOff>240480</xdr:colOff>
      <xdr:row>27</xdr:row>
      <xdr:rowOff>167400</xdr:rowOff>
    </xdr:to>
    <xdr:pic>
      <xdr:nvPicPr>
        <xdr:cNvPr id="28" name="Picture 41" descr=""/>
        <xdr:cNvPicPr/>
      </xdr:nvPicPr>
      <xdr:blipFill>
        <a:blip r:embed="rId29"/>
        <a:stretch/>
      </xdr:blipFill>
      <xdr:spPr>
        <a:xfrm>
          <a:off x="5452200" y="52286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43</xdr:row>
      <xdr:rowOff>18000</xdr:rowOff>
    </xdr:from>
    <xdr:to>
      <xdr:col>4</xdr:col>
      <xdr:colOff>1478880</xdr:colOff>
      <xdr:row>43</xdr:row>
      <xdr:rowOff>166680</xdr:rowOff>
    </xdr:to>
    <xdr:pic>
      <xdr:nvPicPr>
        <xdr:cNvPr id="29" name="Picture 42" descr=""/>
        <xdr:cNvPicPr/>
      </xdr:nvPicPr>
      <xdr:blipFill>
        <a:blip r:embed="rId30"/>
        <a:stretch/>
      </xdr:blipFill>
      <xdr:spPr>
        <a:xfrm>
          <a:off x="3922560" y="82760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11</xdr:row>
      <xdr:rowOff>22680</xdr:rowOff>
    </xdr:from>
    <xdr:to>
      <xdr:col>4</xdr:col>
      <xdr:colOff>1483560</xdr:colOff>
      <xdr:row>11</xdr:row>
      <xdr:rowOff>171360</xdr:rowOff>
    </xdr:to>
    <xdr:pic>
      <xdr:nvPicPr>
        <xdr:cNvPr id="30" name="Picture 40" descr=""/>
        <xdr:cNvPicPr/>
      </xdr:nvPicPr>
      <xdr:blipFill>
        <a:blip r:embed="rId31"/>
        <a:stretch/>
      </xdr:blipFill>
      <xdr:spPr>
        <a:xfrm>
          <a:off x="3927240" y="21848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26</xdr:row>
      <xdr:rowOff>23400</xdr:rowOff>
    </xdr:from>
    <xdr:to>
      <xdr:col>7</xdr:col>
      <xdr:colOff>245160</xdr:colOff>
      <xdr:row>26</xdr:row>
      <xdr:rowOff>172080</xdr:rowOff>
    </xdr:to>
    <xdr:pic>
      <xdr:nvPicPr>
        <xdr:cNvPr id="31" name="Picture 45" descr=""/>
        <xdr:cNvPicPr/>
      </xdr:nvPicPr>
      <xdr:blipFill>
        <a:blip r:embed="rId32"/>
        <a:stretch/>
      </xdr:blipFill>
      <xdr:spPr>
        <a:xfrm>
          <a:off x="5456880" y="50428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43</xdr:row>
      <xdr:rowOff>18000</xdr:rowOff>
    </xdr:from>
    <xdr:to>
      <xdr:col>7</xdr:col>
      <xdr:colOff>240480</xdr:colOff>
      <xdr:row>43</xdr:row>
      <xdr:rowOff>166680</xdr:rowOff>
    </xdr:to>
    <xdr:pic>
      <xdr:nvPicPr>
        <xdr:cNvPr id="32" name="Picture 46" descr=""/>
        <xdr:cNvPicPr/>
      </xdr:nvPicPr>
      <xdr:blipFill>
        <a:blip r:embed="rId33"/>
        <a:stretch/>
      </xdr:blipFill>
      <xdr:spPr>
        <a:xfrm>
          <a:off x="5452200" y="82760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11</xdr:row>
      <xdr:rowOff>18000</xdr:rowOff>
    </xdr:from>
    <xdr:to>
      <xdr:col>7</xdr:col>
      <xdr:colOff>240480</xdr:colOff>
      <xdr:row>11</xdr:row>
      <xdr:rowOff>166680</xdr:rowOff>
    </xdr:to>
    <xdr:pic>
      <xdr:nvPicPr>
        <xdr:cNvPr id="33" name="Picture 44" descr=""/>
        <xdr:cNvPicPr/>
      </xdr:nvPicPr>
      <xdr:blipFill>
        <a:blip r:embed="rId34"/>
        <a:stretch/>
      </xdr:blipFill>
      <xdr:spPr>
        <a:xfrm>
          <a:off x="5452200" y="21801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27</xdr:row>
      <xdr:rowOff>18720</xdr:rowOff>
    </xdr:from>
    <xdr:to>
      <xdr:col>4</xdr:col>
      <xdr:colOff>1483560</xdr:colOff>
      <xdr:row>27</xdr:row>
      <xdr:rowOff>167400</xdr:rowOff>
    </xdr:to>
    <xdr:pic>
      <xdr:nvPicPr>
        <xdr:cNvPr id="34" name="Picture 49" descr=""/>
        <xdr:cNvPicPr/>
      </xdr:nvPicPr>
      <xdr:blipFill>
        <a:blip r:embed="rId35"/>
        <a:stretch/>
      </xdr:blipFill>
      <xdr:spPr>
        <a:xfrm>
          <a:off x="3927240" y="52286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42</xdr:row>
      <xdr:rowOff>18000</xdr:rowOff>
    </xdr:from>
    <xdr:to>
      <xdr:col>4</xdr:col>
      <xdr:colOff>1478880</xdr:colOff>
      <xdr:row>42</xdr:row>
      <xdr:rowOff>166680</xdr:rowOff>
    </xdr:to>
    <xdr:pic>
      <xdr:nvPicPr>
        <xdr:cNvPr id="35" name="Picture 50" descr=""/>
        <xdr:cNvPicPr/>
      </xdr:nvPicPr>
      <xdr:blipFill>
        <a:blip r:embed="rId36"/>
        <a:stretch/>
      </xdr:blipFill>
      <xdr:spPr>
        <a:xfrm>
          <a:off x="3922560" y="808560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12</xdr:row>
      <xdr:rowOff>18000</xdr:rowOff>
    </xdr:from>
    <xdr:to>
      <xdr:col>4</xdr:col>
      <xdr:colOff>1483560</xdr:colOff>
      <xdr:row>12</xdr:row>
      <xdr:rowOff>166680</xdr:rowOff>
    </xdr:to>
    <xdr:pic>
      <xdr:nvPicPr>
        <xdr:cNvPr id="36" name="Picture 48" descr=""/>
        <xdr:cNvPicPr/>
      </xdr:nvPicPr>
      <xdr:blipFill>
        <a:blip r:embed="rId37"/>
        <a:stretch/>
      </xdr:blipFill>
      <xdr:spPr>
        <a:xfrm>
          <a:off x="3927240" y="237060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28</xdr:row>
      <xdr:rowOff>23400</xdr:rowOff>
    </xdr:from>
    <xdr:to>
      <xdr:col>4</xdr:col>
      <xdr:colOff>1483560</xdr:colOff>
      <xdr:row>28</xdr:row>
      <xdr:rowOff>172080</xdr:rowOff>
    </xdr:to>
    <xdr:pic>
      <xdr:nvPicPr>
        <xdr:cNvPr id="37" name="Picture 53" descr=""/>
        <xdr:cNvPicPr/>
      </xdr:nvPicPr>
      <xdr:blipFill>
        <a:blip r:embed="rId38"/>
        <a:stretch/>
      </xdr:blipFill>
      <xdr:spPr>
        <a:xfrm>
          <a:off x="3927240" y="54237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44</xdr:row>
      <xdr:rowOff>18720</xdr:rowOff>
    </xdr:from>
    <xdr:to>
      <xdr:col>7</xdr:col>
      <xdr:colOff>245160</xdr:colOff>
      <xdr:row>44</xdr:row>
      <xdr:rowOff>167400</xdr:rowOff>
    </xdr:to>
    <xdr:pic>
      <xdr:nvPicPr>
        <xdr:cNvPr id="38" name="Picture 54" descr=""/>
        <xdr:cNvPicPr/>
      </xdr:nvPicPr>
      <xdr:blipFill>
        <a:blip r:embed="rId39"/>
        <a:stretch/>
      </xdr:blipFill>
      <xdr:spPr>
        <a:xfrm>
          <a:off x="5456880" y="846720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23400</xdr:colOff>
      <xdr:row>12</xdr:row>
      <xdr:rowOff>22680</xdr:rowOff>
    </xdr:from>
    <xdr:to>
      <xdr:col>7</xdr:col>
      <xdr:colOff>245160</xdr:colOff>
      <xdr:row>12</xdr:row>
      <xdr:rowOff>171360</xdr:rowOff>
    </xdr:to>
    <xdr:pic>
      <xdr:nvPicPr>
        <xdr:cNvPr id="39" name="Picture 52" descr=""/>
        <xdr:cNvPicPr/>
      </xdr:nvPicPr>
      <xdr:blipFill>
        <a:blip r:embed="rId40"/>
        <a:stretch/>
      </xdr:blipFill>
      <xdr:spPr>
        <a:xfrm>
          <a:off x="5456880" y="23752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1257120</xdr:colOff>
      <xdr:row>45</xdr:row>
      <xdr:rowOff>23400</xdr:rowOff>
    </xdr:from>
    <xdr:to>
      <xdr:col>4</xdr:col>
      <xdr:colOff>1478880</xdr:colOff>
      <xdr:row>45</xdr:row>
      <xdr:rowOff>172080</xdr:rowOff>
    </xdr:to>
    <xdr:pic>
      <xdr:nvPicPr>
        <xdr:cNvPr id="40" name="Picture 57" descr=""/>
        <xdr:cNvPicPr/>
      </xdr:nvPicPr>
      <xdr:blipFill>
        <a:blip r:embed="rId41"/>
        <a:stretch/>
      </xdr:blipFill>
      <xdr:spPr>
        <a:xfrm>
          <a:off x="3922560" y="86623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18720</xdr:colOff>
      <xdr:row>29</xdr:row>
      <xdr:rowOff>22680</xdr:rowOff>
    </xdr:from>
    <xdr:to>
      <xdr:col>7</xdr:col>
      <xdr:colOff>240480</xdr:colOff>
      <xdr:row>29</xdr:row>
      <xdr:rowOff>171360</xdr:rowOff>
    </xdr:to>
    <xdr:pic>
      <xdr:nvPicPr>
        <xdr:cNvPr id="41" name="Picture 58" descr=""/>
        <xdr:cNvPicPr/>
      </xdr:nvPicPr>
      <xdr:blipFill>
        <a:blip r:embed="rId42"/>
        <a:stretch/>
      </xdr:blipFill>
      <xdr:spPr>
        <a:xfrm>
          <a:off x="5452200" y="56138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1261800</xdr:colOff>
      <xdr:row>13</xdr:row>
      <xdr:rowOff>22680</xdr:rowOff>
    </xdr:from>
    <xdr:to>
      <xdr:col>4</xdr:col>
      <xdr:colOff>1483560</xdr:colOff>
      <xdr:row>13</xdr:row>
      <xdr:rowOff>171360</xdr:rowOff>
    </xdr:to>
    <xdr:pic>
      <xdr:nvPicPr>
        <xdr:cNvPr id="42" name="Picture 56" descr=""/>
        <xdr:cNvPicPr/>
      </xdr:nvPicPr>
      <xdr:blipFill>
        <a:blip r:embed="rId43"/>
        <a:stretch/>
      </xdr:blipFill>
      <xdr:spPr>
        <a:xfrm>
          <a:off x="3927240" y="2565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28</xdr:row>
      <xdr:rowOff>18000</xdr:rowOff>
    </xdr:from>
    <xdr:to>
      <xdr:col>7</xdr:col>
      <xdr:colOff>239760</xdr:colOff>
      <xdr:row>28</xdr:row>
      <xdr:rowOff>166680</xdr:rowOff>
    </xdr:to>
    <xdr:pic>
      <xdr:nvPicPr>
        <xdr:cNvPr id="43" name="Picture 61" descr=""/>
        <xdr:cNvPicPr/>
      </xdr:nvPicPr>
      <xdr:blipFill>
        <a:blip r:embed="rId44"/>
        <a:stretch/>
      </xdr:blipFill>
      <xdr:spPr>
        <a:xfrm>
          <a:off x="5451480" y="54183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22320</xdr:colOff>
      <xdr:row>45</xdr:row>
      <xdr:rowOff>18000</xdr:rowOff>
    </xdr:from>
    <xdr:to>
      <xdr:col>7</xdr:col>
      <xdr:colOff>244080</xdr:colOff>
      <xdr:row>45</xdr:row>
      <xdr:rowOff>166680</xdr:rowOff>
    </xdr:to>
    <xdr:pic>
      <xdr:nvPicPr>
        <xdr:cNvPr id="44" name="Picture 62" descr=""/>
        <xdr:cNvPicPr/>
      </xdr:nvPicPr>
      <xdr:blipFill>
        <a:blip r:embed="rId45"/>
        <a:stretch/>
      </xdr:blipFill>
      <xdr:spPr>
        <a:xfrm>
          <a:off x="5455800" y="86569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18000</xdr:colOff>
      <xdr:row>13</xdr:row>
      <xdr:rowOff>21600</xdr:rowOff>
    </xdr:from>
    <xdr:to>
      <xdr:col>7</xdr:col>
      <xdr:colOff>239760</xdr:colOff>
      <xdr:row>13</xdr:row>
      <xdr:rowOff>170280</xdr:rowOff>
    </xdr:to>
    <xdr:pic>
      <xdr:nvPicPr>
        <xdr:cNvPr id="45" name="Picture 60" descr=""/>
        <xdr:cNvPicPr/>
      </xdr:nvPicPr>
      <xdr:blipFill>
        <a:blip r:embed="rId46"/>
        <a:stretch/>
      </xdr:blipFill>
      <xdr:spPr>
        <a:xfrm>
          <a:off x="5451480" y="25646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1260720</xdr:colOff>
      <xdr:row>29</xdr:row>
      <xdr:rowOff>21600</xdr:rowOff>
    </xdr:from>
    <xdr:to>
      <xdr:col>4</xdr:col>
      <xdr:colOff>1482480</xdr:colOff>
      <xdr:row>29</xdr:row>
      <xdr:rowOff>170280</xdr:rowOff>
    </xdr:to>
    <xdr:pic>
      <xdr:nvPicPr>
        <xdr:cNvPr id="46" name="Picture 65" descr=""/>
        <xdr:cNvPicPr/>
      </xdr:nvPicPr>
      <xdr:blipFill>
        <a:blip r:embed="rId47"/>
        <a:stretch/>
      </xdr:blipFill>
      <xdr:spPr>
        <a:xfrm>
          <a:off x="3926160" y="56127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1256400</xdr:colOff>
      <xdr:row>44</xdr:row>
      <xdr:rowOff>18000</xdr:rowOff>
    </xdr:from>
    <xdr:to>
      <xdr:col>4</xdr:col>
      <xdr:colOff>1478160</xdr:colOff>
      <xdr:row>44</xdr:row>
      <xdr:rowOff>166680</xdr:rowOff>
    </xdr:to>
    <xdr:pic>
      <xdr:nvPicPr>
        <xdr:cNvPr id="47" name="Picture 66" descr=""/>
        <xdr:cNvPicPr/>
      </xdr:nvPicPr>
      <xdr:blipFill>
        <a:blip r:embed="rId48"/>
        <a:stretch/>
      </xdr:blipFill>
      <xdr:spPr>
        <a:xfrm>
          <a:off x="3921840" y="84664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14</xdr:row>
      <xdr:rowOff>24480</xdr:rowOff>
    </xdr:from>
    <xdr:to>
      <xdr:col>4</xdr:col>
      <xdr:colOff>1479960</xdr:colOff>
      <xdr:row>14</xdr:row>
      <xdr:rowOff>173160</xdr:rowOff>
    </xdr:to>
    <xdr:pic>
      <xdr:nvPicPr>
        <xdr:cNvPr id="48" name="Picture 64" descr=""/>
        <xdr:cNvPicPr/>
      </xdr:nvPicPr>
      <xdr:blipFill>
        <a:blip r:embed="rId49"/>
        <a:stretch/>
      </xdr:blipFill>
      <xdr:spPr>
        <a:xfrm>
          <a:off x="3923640" y="27579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30</xdr:row>
      <xdr:rowOff>19080</xdr:rowOff>
    </xdr:from>
    <xdr:to>
      <xdr:col>4</xdr:col>
      <xdr:colOff>1484640</xdr:colOff>
      <xdr:row>30</xdr:row>
      <xdr:rowOff>167760</xdr:rowOff>
    </xdr:to>
    <xdr:pic>
      <xdr:nvPicPr>
        <xdr:cNvPr id="49" name="Picture 69" descr=""/>
        <xdr:cNvPicPr/>
      </xdr:nvPicPr>
      <xdr:blipFill>
        <a:blip r:embed="rId50"/>
        <a:stretch/>
      </xdr:blipFill>
      <xdr:spPr>
        <a:xfrm>
          <a:off x="3928320" y="58006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46</xdr:row>
      <xdr:rowOff>19800</xdr:rowOff>
    </xdr:from>
    <xdr:to>
      <xdr:col>7</xdr:col>
      <xdr:colOff>241560</xdr:colOff>
      <xdr:row>46</xdr:row>
      <xdr:rowOff>168480</xdr:rowOff>
    </xdr:to>
    <xdr:pic>
      <xdr:nvPicPr>
        <xdr:cNvPr id="50" name="Picture 70" descr=""/>
        <xdr:cNvPicPr/>
      </xdr:nvPicPr>
      <xdr:blipFill>
        <a:blip r:embed="rId51"/>
        <a:stretch/>
      </xdr:blipFill>
      <xdr:spPr>
        <a:xfrm>
          <a:off x="5453280" y="88491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48240</xdr:colOff>
      <xdr:row>14</xdr:row>
      <xdr:rowOff>19800</xdr:rowOff>
    </xdr:from>
    <xdr:to>
      <xdr:col>7</xdr:col>
      <xdr:colOff>196920</xdr:colOff>
      <xdr:row>14</xdr:row>
      <xdr:rowOff>168480</xdr:rowOff>
    </xdr:to>
    <xdr:pic>
      <xdr:nvPicPr>
        <xdr:cNvPr id="51" name="Picture 68" descr=""/>
        <xdr:cNvPicPr/>
      </xdr:nvPicPr>
      <xdr:blipFill>
        <a:blip r:embed="rId52"/>
        <a:stretch/>
      </xdr:blipFill>
      <xdr:spPr>
        <a:xfrm>
          <a:off x="5481720" y="2753280"/>
          <a:ext cx="14868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43560</xdr:colOff>
      <xdr:row>31</xdr:row>
      <xdr:rowOff>19080</xdr:rowOff>
    </xdr:from>
    <xdr:to>
      <xdr:col>7</xdr:col>
      <xdr:colOff>192240</xdr:colOff>
      <xdr:row>31</xdr:row>
      <xdr:rowOff>167760</xdr:rowOff>
    </xdr:to>
    <xdr:pic>
      <xdr:nvPicPr>
        <xdr:cNvPr id="52" name="Picture 73" descr=""/>
        <xdr:cNvPicPr/>
      </xdr:nvPicPr>
      <xdr:blipFill>
        <a:blip r:embed="rId53"/>
        <a:stretch/>
      </xdr:blipFill>
      <xdr:spPr>
        <a:xfrm>
          <a:off x="5477040" y="5991120"/>
          <a:ext cx="14868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1291320</xdr:colOff>
      <xdr:row>47</xdr:row>
      <xdr:rowOff>19080</xdr:rowOff>
    </xdr:from>
    <xdr:to>
      <xdr:col>4</xdr:col>
      <xdr:colOff>1440000</xdr:colOff>
      <xdr:row>47</xdr:row>
      <xdr:rowOff>167760</xdr:rowOff>
    </xdr:to>
    <xdr:pic>
      <xdr:nvPicPr>
        <xdr:cNvPr id="53" name="Picture 74" descr=""/>
        <xdr:cNvPicPr/>
      </xdr:nvPicPr>
      <xdr:blipFill>
        <a:blip r:embed="rId54"/>
        <a:stretch/>
      </xdr:blipFill>
      <xdr:spPr>
        <a:xfrm>
          <a:off x="3956760" y="9039240"/>
          <a:ext cx="14868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15</xdr:row>
      <xdr:rowOff>19800</xdr:rowOff>
    </xdr:from>
    <xdr:to>
      <xdr:col>4</xdr:col>
      <xdr:colOff>1479960</xdr:colOff>
      <xdr:row>15</xdr:row>
      <xdr:rowOff>168480</xdr:rowOff>
    </xdr:to>
    <xdr:pic>
      <xdr:nvPicPr>
        <xdr:cNvPr id="54" name="Picture 72" descr=""/>
        <xdr:cNvPicPr/>
      </xdr:nvPicPr>
      <xdr:blipFill>
        <a:blip r:embed="rId55"/>
        <a:stretch/>
      </xdr:blipFill>
      <xdr:spPr>
        <a:xfrm>
          <a:off x="3923640" y="2943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30</xdr:row>
      <xdr:rowOff>19080</xdr:rowOff>
    </xdr:from>
    <xdr:to>
      <xdr:col>7</xdr:col>
      <xdr:colOff>241560</xdr:colOff>
      <xdr:row>30</xdr:row>
      <xdr:rowOff>167760</xdr:rowOff>
    </xdr:to>
    <xdr:pic>
      <xdr:nvPicPr>
        <xdr:cNvPr id="55" name="Picture 77" descr=""/>
        <xdr:cNvPicPr/>
      </xdr:nvPicPr>
      <xdr:blipFill>
        <a:blip r:embed="rId56"/>
        <a:stretch/>
      </xdr:blipFill>
      <xdr:spPr>
        <a:xfrm>
          <a:off x="5453280" y="58006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47</xdr:row>
      <xdr:rowOff>19080</xdr:rowOff>
    </xdr:from>
    <xdr:to>
      <xdr:col>7</xdr:col>
      <xdr:colOff>241560</xdr:colOff>
      <xdr:row>47</xdr:row>
      <xdr:rowOff>167760</xdr:rowOff>
    </xdr:to>
    <xdr:pic>
      <xdr:nvPicPr>
        <xdr:cNvPr id="56" name="Picture 78" descr=""/>
        <xdr:cNvPicPr/>
      </xdr:nvPicPr>
      <xdr:blipFill>
        <a:blip r:embed="rId57"/>
        <a:stretch/>
      </xdr:blipFill>
      <xdr:spPr>
        <a:xfrm>
          <a:off x="5453280" y="90392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15</xdr:row>
      <xdr:rowOff>19800</xdr:rowOff>
    </xdr:from>
    <xdr:to>
      <xdr:col>7</xdr:col>
      <xdr:colOff>241560</xdr:colOff>
      <xdr:row>15</xdr:row>
      <xdr:rowOff>168480</xdr:rowOff>
    </xdr:to>
    <xdr:pic>
      <xdr:nvPicPr>
        <xdr:cNvPr id="57" name="Picture 76" descr=""/>
        <xdr:cNvPicPr/>
      </xdr:nvPicPr>
      <xdr:blipFill>
        <a:blip r:embed="rId58"/>
        <a:stretch/>
      </xdr:blipFill>
      <xdr:spPr>
        <a:xfrm>
          <a:off x="5453280" y="2943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31</xdr:row>
      <xdr:rowOff>19080</xdr:rowOff>
    </xdr:from>
    <xdr:to>
      <xdr:col>4</xdr:col>
      <xdr:colOff>1484640</xdr:colOff>
      <xdr:row>31</xdr:row>
      <xdr:rowOff>167760</xdr:rowOff>
    </xdr:to>
    <xdr:pic>
      <xdr:nvPicPr>
        <xdr:cNvPr id="58" name="Picture 81" descr=""/>
        <xdr:cNvPicPr/>
      </xdr:nvPicPr>
      <xdr:blipFill>
        <a:blip r:embed="rId59"/>
        <a:stretch/>
      </xdr:blipFill>
      <xdr:spPr>
        <a:xfrm>
          <a:off x="3928320" y="59911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46</xdr:row>
      <xdr:rowOff>19800</xdr:rowOff>
    </xdr:from>
    <xdr:to>
      <xdr:col>4</xdr:col>
      <xdr:colOff>1479960</xdr:colOff>
      <xdr:row>46</xdr:row>
      <xdr:rowOff>168480</xdr:rowOff>
    </xdr:to>
    <xdr:pic>
      <xdr:nvPicPr>
        <xdr:cNvPr id="59" name="Picture 82" descr=""/>
        <xdr:cNvPicPr/>
      </xdr:nvPicPr>
      <xdr:blipFill>
        <a:blip r:embed="rId60"/>
        <a:stretch/>
      </xdr:blipFill>
      <xdr:spPr>
        <a:xfrm>
          <a:off x="3923640" y="88491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16</xdr:row>
      <xdr:rowOff>19800</xdr:rowOff>
    </xdr:from>
    <xdr:to>
      <xdr:col>4</xdr:col>
      <xdr:colOff>1479960</xdr:colOff>
      <xdr:row>16</xdr:row>
      <xdr:rowOff>168480</xdr:rowOff>
    </xdr:to>
    <xdr:pic>
      <xdr:nvPicPr>
        <xdr:cNvPr id="60" name="Picture 80" descr=""/>
        <xdr:cNvPicPr/>
      </xdr:nvPicPr>
      <xdr:blipFill>
        <a:blip r:embed="rId61"/>
        <a:stretch/>
      </xdr:blipFill>
      <xdr:spPr>
        <a:xfrm>
          <a:off x="3923640" y="31341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32</xdr:row>
      <xdr:rowOff>19800</xdr:rowOff>
    </xdr:from>
    <xdr:to>
      <xdr:col>4</xdr:col>
      <xdr:colOff>1479960</xdr:colOff>
      <xdr:row>32</xdr:row>
      <xdr:rowOff>168480</xdr:rowOff>
    </xdr:to>
    <xdr:pic>
      <xdr:nvPicPr>
        <xdr:cNvPr id="61" name="Picture 85" descr=""/>
        <xdr:cNvPicPr/>
      </xdr:nvPicPr>
      <xdr:blipFill>
        <a:blip r:embed="rId62"/>
        <a:stretch/>
      </xdr:blipFill>
      <xdr:spPr>
        <a:xfrm>
          <a:off x="3923640" y="61822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48</xdr:row>
      <xdr:rowOff>19080</xdr:rowOff>
    </xdr:from>
    <xdr:to>
      <xdr:col>7</xdr:col>
      <xdr:colOff>241560</xdr:colOff>
      <xdr:row>48</xdr:row>
      <xdr:rowOff>167760</xdr:rowOff>
    </xdr:to>
    <xdr:pic>
      <xdr:nvPicPr>
        <xdr:cNvPr id="62" name="Picture 86" descr=""/>
        <xdr:cNvPicPr/>
      </xdr:nvPicPr>
      <xdr:blipFill>
        <a:blip r:embed="rId63"/>
        <a:stretch/>
      </xdr:blipFill>
      <xdr:spPr>
        <a:xfrm>
          <a:off x="5453280" y="92296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16</xdr:row>
      <xdr:rowOff>24480</xdr:rowOff>
    </xdr:from>
    <xdr:to>
      <xdr:col>7</xdr:col>
      <xdr:colOff>241560</xdr:colOff>
      <xdr:row>16</xdr:row>
      <xdr:rowOff>173160</xdr:rowOff>
    </xdr:to>
    <xdr:pic>
      <xdr:nvPicPr>
        <xdr:cNvPr id="63" name="Picture 84" descr=""/>
        <xdr:cNvPicPr/>
      </xdr:nvPicPr>
      <xdr:blipFill>
        <a:blip r:embed="rId64"/>
        <a:stretch/>
      </xdr:blipFill>
      <xdr:spPr>
        <a:xfrm>
          <a:off x="5453280" y="31388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33</xdr:row>
      <xdr:rowOff>19800</xdr:rowOff>
    </xdr:from>
    <xdr:to>
      <xdr:col>7</xdr:col>
      <xdr:colOff>241560</xdr:colOff>
      <xdr:row>33</xdr:row>
      <xdr:rowOff>168480</xdr:rowOff>
    </xdr:to>
    <xdr:pic>
      <xdr:nvPicPr>
        <xdr:cNvPr id="64" name="Picture 89" descr=""/>
        <xdr:cNvPicPr/>
      </xdr:nvPicPr>
      <xdr:blipFill>
        <a:blip r:embed="rId65"/>
        <a:stretch/>
      </xdr:blipFill>
      <xdr:spPr>
        <a:xfrm>
          <a:off x="5453280" y="6372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49</xdr:row>
      <xdr:rowOff>19080</xdr:rowOff>
    </xdr:from>
    <xdr:to>
      <xdr:col>4</xdr:col>
      <xdr:colOff>1484640</xdr:colOff>
      <xdr:row>49</xdr:row>
      <xdr:rowOff>167760</xdr:rowOff>
    </xdr:to>
    <xdr:pic>
      <xdr:nvPicPr>
        <xdr:cNvPr id="65" name="Picture 90" descr=""/>
        <xdr:cNvPicPr/>
      </xdr:nvPicPr>
      <xdr:blipFill>
        <a:blip r:embed="rId66"/>
        <a:stretch/>
      </xdr:blipFill>
      <xdr:spPr>
        <a:xfrm>
          <a:off x="3928320" y="94201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17</xdr:row>
      <xdr:rowOff>19080</xdr:rowOff>
    </xdr:from>
    <xdr:to>
      <xdr:col>4</xdr:col>
      <xdr:colOff>1479960</xdr:colOff>
      <xdr:row>17</xdr:row>
      <xdr:rowOff>167760</xdr:rowOff>
    </xdr:to>
    <xdr:pic>
      <xdr:nvPicPr>
        <xdr:cNvPr id="66" name="Picture 88" descr=""/>
        <xdr:cNvPicPr/>
      </xdr:nvPicPr>
      <xdr:blipFill>
        <a:blip r:embed="rId67"/>
        <a:stretch/>
      </xdr:blipFill>
      <xdr:spPr>
        <a:xfrm>
          <a:off x="3923640" y="33242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32</xdr:row>
      <xdr:rowOff>19800</xdr:rowOff>
    </xdr:from>
    <xdr:to>
      <xdr:col>7</xdr:col>
      <xdr:colOff>241560</xdr:colOff>
      <xdr:row>32</xdr:row>
      <xdr:rowOff>168480</xdr:rowOff>
    </xdr:to>
    <xdr:pic>
      <xdr:nvPicPr>
        <xdr:cNvPr id="67" name="Picture 93" descr=""/>
        <xdr:cNvPicPr/>
      </xdr:nvPicPr>
      <xdr:blipFill>
        <a:blip r:embed="rId68"/>
        <a:stretch/>
      </xdr:blipFill>
      <xdr:spPr>
        <a:xfrm>
          <a:off x="5453280" y="61822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49</xdr:row>
      <xdr:rowOff>19080</xdr:rowOff>
    </xdr:from>
    <xdr:to>
      <xdr:col>7</xdr:col>
      <xdr:colOff>241560</xdr:colOff>
      <xdr:row>49</xdr:row>
      <xdr:rowOff>167760</xdr:rowOff>
    </xdr:to>
    <xdr:pic>
      <xdr:nvPicPr>
        <xdr:cNvPr id="68" name="Picture 94" descr=""/>
        <xdr:cNvPicPr/>
      </xdr:nvPicPr>
      <xdr:blipFill>
        <a:blip r:embed="rId69"/>
        <a:stretch/>
      </xdr:blipFill>
      <xdr:spPr>
        <a:xfrm>
          <a:off x="5453280" y="94201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17</xdr:row>
      <xdr:rowOff>19080</xdr:rowOff>
    </xdr:from>
    <xdr:to>
      <xdr:col>7</xdr:col>
      <xdr:colOff>241560</xdr:colOff>
      <xdr:row>17</xdr:row>
      <xdr:rowOff>167760</xdr:rowOff>
    </xdr:to>
    <xdr:pic>
      <xdr:nvPicPr>
        <xdr:cNvPr id="69" name="Picture 92" descr=""/>
        <xdr:cNvPicPr/>
      </xdr:nvPicPr>
      <xdr:blipFill>
        <a:blip r:embed="rId70"/>
        <a:stretch/>
      </xdr:blipFill>
      <xdr:spPr>
        <a:xfrm>
          <a:off x="5453280" y="33242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33</xdr:row>
      <xdr:rowOff>19800</xdr:rowOff>
    </xdr:from>
    <xdr:to>
      <xdr:col>4</xdr:col>
      <xdr:colOff>1479960</xdr:colOff>
      <xdr:row>33</xdr:row>
      <xdr:rowOff>168480</xdr:rowOff>
    </xdr:to>
    <xdr:pic>
      <xdr:nvPicPr>
        <xdr:cNvPr id="70" name="Picture 99" descr=""/>
        <xdr:cNvPicPr/>
      </xdr:nvPicPr>
      <xdr:blipFill>
        <a:blip r:embed="rId71"/>
        <a:stretch/>
      </xdr:blipFill>
      <xdr:spPr>
        <a:xfrm>
          <a:off x="3923640" y="6372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48</xdr:row>
      <xdr:rowOff>19080</xdr:rowOff>
    </xdr:from>
    <xdr:to>
      <xdr:col>4</xdr:col>
      <xdr:colOff>1479960</xdr:colOff>
      <xdr:row>48</xdr:row>
      <xdr:rowOff>167760</xdr:rowOff>
    </xdr:to>
    <xdr:pic>
      <xdr:nvPicPr>
        <xdr:cNvPr id="71" name="Picture 100" descr=""/>
        <xdr:cNvPicPr/>
      </xdr:nvPicPr>
      <xdr:blipFill>
        <a:blip r:embed="rId72"/>
        <a:stretch/>
      </xdr:blipFill>
      <xdr:spPr>
        <a:xfrm>
          <a:off x="3923640" y="92296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18</xdr:row>
      <xdr:rowOff>19080</xdr:rowOff>
    </xdr:from>
    <xdr:to>
      <xdr:col>4</xdr:col>
      <xdr:colOff>1462680</xdr:colOff>
      <xdr:row>18</xdr:row>
      <xdr:rowOff>167760</xdr:rowOff>
    </xdr:to>
    <xdr:pic>
      <xdr:nvPicPr>
        <xdr:cNvPr id="72" name="Picture 96" descr=""/>
        <xdr:cNvPicPr/>
      </xdr:nvPicPr>
      <xdr:blipFill>
        <a:blip r:embed="rId73"/>
        <a:stretch/>
      </xdr:blipFill>
      <xdr:spPr>
        <a:xfrm>
          <a:off x="3952080" y="3514680"/>
          <a:ext cx="17604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1286640</xdr:colOff>
      <xdr:row>34</xdr:row>
      <xdr:rowOff>19800</xdr:rowOff>
    </xdr:from>
    <xdr:to>
      <xdr:col>4</xdr:col>
      <xdr:colOff>1462680</xdr:colOff>
      <xdr:row>34</xdr:row>
      <xdr:rowOff>168480</xdr:rowOff>
    </xdr:to>
    <xdr:pic>
      <xdr:nvPicPr>
        <xdr:cNvPr id="73" name="Picture 101" descr=""/>
        <xdr:cNvPicPr/>
      </xdr:nvPicPr>
      <xdr:blipFill>
        <a:blip r:embed="rId74"/>
        <a:stretch/>
      </xdr:blipFill>
      <xdr:spPr>
        <a:xfrm>
          <a:off x="3952080" y="6563160"/>
          <a:ext cx="17604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38880</xdr:colOff>
      <xdr:row>50</xdr:row>
      <xdr:rowOff>19800</xdr:rowOff>
    </xdr:from>
    <xdr:to>
      <xdr:col>7</xdr:col>
      <xdr:colOff>214920</xdr:colOff>
      <xdr:row>50</xdr:row>
      <xdr:rowOff>168480</xdr:rowOff>
    </xdr:to>
    <xdr:pic>
      <xdr:nvPicPr>
        <xdr:cNvPr id="74" name="Picture 102" descr=""/>
        <xdr:cNvPicPr/>
      </xdr:nvPicPr>
      <xdr:blipFill>
        <a:blip r:embed="rId75"/>
        <a:stretch/>
      </xdr:blipFill>
      <xdr:spPr>
        <a:xfrm>
          <a:off x="5472360" y="9611280"/>
          <a:ext cx="17604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18</xdr:row>
      <xdr:rowOff>19080</xdr:rowOff>
    </xdr:from>
    <xdr:to>
      <xdr:col>7</xdr:col>
      <xdr:colOff>241560</xdr:colOff>
      <xdr:row>18</xdr:row>
      <xdr:rowOff>167760</xdr:rowOff>
    </xdr:to>
    <xdr:pic>
      <xdr:nvPicPr>
        <xdr:cNvPr id="75" name="Picture 104" descr=""/>
        <xdr:cNvPicPr/>
      </xdr:nvPicPr>
      <xdr:blipFill>
        <a:blip r:embed="rId76"/>
        <a:stretch/>
      </xdr:blipFill>
      <xdr:spPr>
        <a:xfrm>
          <a:off x="5453280" y="35146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35</xdr:row>
      <xdr:rowOff>19080</xdr:rowOff>
    </xdr:from>
    <xdr:to>
      <xdr:col>7</xdr:col>
      <xdr:colOff>246240</xdr:colOff>
      <xdr:row>35</xdr:row>
      <xdr:rowOff>167760</xdr:rowOff>
    </xdr:to>
    <xdr:pic>
      <xdr:nvPicPr>
        <xdr:cNvPr id="76" name="Picture 105" descr=""/>
        <xdr:cNvPicPr/>
      </xdr:nvPicPr>
      <xdr:blipFill>
        <a:blip r:embed="rId77"/>
        <a:stretch/>
      </xdr:blipFill>
      <xdr:spPr>
        <a:xfrm>
          <a:off x="5457960" y="67532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51</xdr:row>
      <xdr:rowOff>19800</xdr:rowOff>
    </xdr:from>
    <xdr:to>
      <xdr:col>4</xdr:col>
      <xdr:colOff>1479960</xdr:colOff>
      <xdr:row>51</xdr:row>
      <xdr:rowOff>168480</xdr:rowOff>
    </xdr:to>
    <xdr:pic>
      <xdr:nvPicPr>
        <xdr:cNvPr id="77" name="Picture 106" descr=""/>
        <xdr:cNvPicPr/>
      </xdr:nvPicPr>
      <xdr:blipFill>
        <a:blip r:embed="rId78"/>
        <a:stretch/>
      </xdr:blipFill>
      <xdr:spPr>
        <a:xfrm>
          <a:off x="3923640" y="9801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19</xdr:row>
      <xdr:rowOff>19080</xdr:rowOff>
    </xdr:from>
    <xdr:to>
      <xdr:col>4</xdr:col>
      <xdr:colOff>1479960</xdr:colOff>
      <xdr:row>19</xdr:row>
      <xdr:rowOff>167760</xdr:rowOff>
    </xdr:to>
    <xdr:pic>
      <xdr:nvPicPr>
        <xdr:cNvPr id="78" name="Picture 108" descr=""/>
        <xdr:cNvPicPr/>
      </xdr:nvPicPr>
      <xdr:blipFill>
        <a:blip r:embed="rId79"/>
        <a:stretch/>
      </xdr:blipFill>
      <xdr:spPr>
        <a:xfrm>
          <a:off x="3923640" y="37051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34</xdr:row>
      <xdr:rowOff>19800</xdr:rowOff>
    </xdr:from>
    <xdr:to>
      <xdr:col>7</xdr:col>
      <xdr:colOff>241560</xdr:colOff>
      <xdr:row>34</xdr:row>
      <xdr:rowOff>168480</xdr:rowOff>
    </xdr:to>
    <xdr:pic>
      <xdr:nvPicPr>
        <xdr:cNvPr id="79" name="Picture 109" descr=""/>
        <xdr:cNvPicPr/>
      </xdr:nvPicPr>
      <xdr:blipFill>
        <a:blip r:embed="rId80"/>
        <a:stretch/>
      </xdr:blipFill>
      <xdr:spPr>
        <a:xfrm>
          <a:off x="5453280" y="65631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51</xdr:row>
      <xdr:rowOff>19800</xdr:rowOff>
    </xdr:from>
    <xdr:to>
      <xdr:col>7</xdr:col>
      <xdr:colOff>241560</xdr:colOff>
      <xdr:row>51</xdr:row>
      <xdr:rowOff>168480</xdr:rowOff>
    </xdr:to>
    <xdr:pic>
      <xdr:nvPicPr>
        <xdr:cNvPr id="80" name="Picture 110" descr=""/>
        <xdr:cNvPicPr/>
      </xdr:nvPicPr>
      <xdr:blipFill>
        <a:blip r:embed="rId81"/>
        <a:stretch/>
      </xdr:blipFill>
      <xdr:spPr>
        <a:xfrm>
          <a:off x="5453280" y="9801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20</xdr:row>
      <xdr:rowOff>19800</xdr:rowOff>
    </xdr:from>
    <xdr:to>
      <xdr:col>4</xdr:col>
      <xdr:colOff>1479960</xdr:colOff>
      <xdr:row>20</xdr:row>
      <xdr:rowOff>168480</xdr:rowOff>
    </xdr:to>
    <xdr:pic>
      <xdr:nvPicPr>
        <xdr:cNvPr id="81" name="Picture 112" descr=""/>
        <xdr:cNvPicPr/>
      </xdr:nvPicPr>
      <xdr:blipFill>
        <a:blip r:embed="rId82"/>
        <a:stretch/>
      </xdr:blipFill>
      <xdr:spPr>
        <a:xfrm>
          <a:off x="3923640" y="38962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36</xdr:row>
      <xdr:rowOff>19080</xdr:rowOff>
    </xdr:from>
    <xdr:to>
      <xdr:col>4</xdr:col>
      <xdr:colOff>1484640</xdr:colOff>
      <xdr:row>36</xdr:row>
      <xdr:rowOff>167760</xdr:rowOff>
    </xdr:to>
    <xdr:pic>
      <xdr:nvPicPr>
        <xdr:cNvPr id="82" name="Picture 113" descr=""/>
        <xdr:cNvPicPr/>
      </xdr:nvPicPr>
      <xdr:blipFill>
        <a:blip r:embed="rId83"/>
        <a:stretch/>
      </xdr:blipFill>
      <xdr:spPr>
        <a:xfrm>
          <a:off x="3928320" y="694368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52</xdr:row>
      <xdr:rowOff>19800</xdr:rowOff>
    </xdr:from>
    <xdr:to>
      <xdr:col>7</xdr:col>
      <xdr:colOff>241560</xdr:colOff>
      <xdr:row>52</xdr:row>
      <xdr:rowOff>168480</xdr:rowOff>
    </xdr:to>
    <xdr:pic>
      <xdr:nvPicPr>
        <xdr:cNvPr id="83" name="Picture 114" descr=""/>
        <xdr:cNvPicPr/>
      </xdr:nvPicPr>
      <xdr:blipFill>
        <a:blip r:embed="rId84"/>
        <a:stretch/>
      </xdr:blipFill>
      <xdr:spPr>
        <a:xfrm>
          <a:off x="5453280" y="99921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20</xdr:row>
      <xdr:rowOff>24480</xdr:rowOff>
    </xdr:from>
    <xdr:to>
      <xdr:col>7</xdr:col>
      <xdr:colOff>246240</xdr:colOff>
      <xdr:row>20</xdr:row>
      <xdr:rowOff>173160</xdr:rowOff>
    </xdr:to>
    <xdr:pic>
      <xdr:nvPicPr>
        <xdr:cNvPr id="84" name="Picture 3" descr=""/>
        <xdr:cNvPicPr/>
      </xdr:nvPicPr>
      <xdr:blipFill>
        <a:blip r:embed="rId85"/>
        <a:stretch/>
      </xdr:blipFill>
      <xdr:spPr>
        <a:xfrm>
          <a:off x="5457960" y="39009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37</xdr:row>
      <xdr:rowOff>19080</xdr:rowOff>
    </xdr:from>
    <xdr:to>
      <xdr:col>7</xdr:col>
      <xdr:colOff>246240</xdr:colOff>
      <xdr:row>37</xdr:row>
      <xdr:rowOff>167760</xdr:rowOff>
    </xdr:to>
    <xdr:pic>
      <xdr:nvPicPr>
        <xdr:cNvPr id="85" name="Picture 87" descr=""/>
        <xdr:cNvPicPr/>
      </xdr:nvPicPr>
      <xdr:blipFill>
        <a:blip r:embed="rId86"/>
        <a:stretch/>
      </xdr:blipFill>
      <xdr:spPr>
        <a:xfrm>
          <a:off x="5457960" y="71341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53</xdr:row>
      <xdr:rowOff>19080</xdr:rowOff>
    </xdr:from>
    <xdr:to>
      <xdr:col>4</xdr:col>
      <xdr:colOff>1479960</xdr:colOff>
      <xdr:row>53</xdr:row>
      <xdr:rowOff>167760</xdr:rowOff>
    </xdr:to>
    <xdr:pic>
      <xdr:nvPicPr>
        <xdr:cNvPr id="86" name="Picture 91" descr=""/>
        <xdr:cNvPicPr/>
      </xdr:nvPicPr>
      <xdr:blipFill>
        <a:blip r:embed="rId87"/>
        <a:stretch/>
      </xdr:blipFill>
      <xdr:spPr>
        <a:xfrm>
          <a:off x="3923640" y="101822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21</xdr:row>
      <xdr:rowOff>24480</xdr:rowOff>
    </xdr:from>
    <xdr:to>
      <xdr:col>4</xdr:col>
      <xdr:colOff>1484640</xdr:colOff>
      <xdr:row>21</xdr:row>
      <xdr:rowOff>173160</xdr:rowOff>
    </xdr:to>
    <xdr:pic>
      <xdr:nvPicPr>
        <xdr:cNvPr id="87" name="Picture 11" descr=""/>
        <xdr:cNvPicPr/>
      </xdr:nvPicPr>
      <xdr:blipFill>
        <a:blip r:embed="rId88"/>
        <a:stretch/>
      </xdr:blipFill>
      <xdr:spPr>
        <a:xfrm>
          <a:off x="3928320" y="409140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36</xdr:row>
      <xdr:rowOff>23760</xdr:rowOff>
    </xdr:from>
    <xdr:to>
      <xdr:col>7</xdr:col>
      <xdr:colOff>246240</xdr:colOff>
      <xdr:row>36</xdr:row>
      <xdr:rowOff>172440</xdr:rowOff>
    </xdr:to>
    <xdr:pic>
      <xdr:nvPicPr>
        <xdr:cNvPr id="88" name="Picture 95" descr=""/>
        <xdr:cNvPicPr/>
      </xdr:nvPicPr>
      <xdr:blipFill>
        <a:blip r:embed="rId89"/>
        <a:stretch/>
      </xdr:blipFill>
      <xdr:spPr>
        <a:xfrm>
          <a:off x="5457960" y="69483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53</xdr:row>
      <xdr:rowOff>19080</xdr:rowOff>
    </xdr:from>
    <xdr:to>
      <xdr:col>7</xdr:col>
      <xdr:colOff>241560</xdr:colOff>
      <xdr:row>53</xdr:row>
      <xdr:rowOff>167760</xdr:rowOff>
    </xdr:to>
    <xdr:pic>
      <xdr:nvPicPr>
        <xdr:cNvPr id="89" name="Picture 97" descr=""/>
        <xdr:cNvPicPr/>
      </xdr:nvPicPr>
      <xdr:blipFill>
        <a:blip r:embed="rId90"/>
        <a:stretch/>
      </xdr:blipFill>
      <xdr:spPr>
        <a:xfrm>
          <a:off x="5453280" y="101822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19800</xdr:colOff>
      <xdr:row>21</xdr:row>
      <xdr:rowOff>19800</xdr:rowOff>
    </xdr:from>
    <xdr:to>
      <xdr:col>7</xdr:col>
      <xdr:colOff>241560</xdr:colOff>
      <xdr:row>21</xdr:row>
      <xdr:rowOff>168480</xdr:rowOff>
    </xdr:to>
    <xdr:pic>
      <xdr:nvPicPr>
        <xdr:cNvPr id="90" name="Picture 19" descr=""/>
        <xdr:cNvPicPr/>
      </xdr:nvPicPr>
      <xdr:blipFill>
        <a:blip r:embed="rId91"/>
        <a:stretch/>
      </xdr:blipFill>
      <xdr:spPr>
        <a:xfrm>
          <a:off x="5453280" y="40867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37</xdr:row>
      <xdr:rowOff>19080</xdr:rowOff>
    </xdr:from>
    <xdr:to>
      <xdr:col>4</xdr:col>
      <xdr:colOff>1484640</xdr:colOff>
      <xdr:row>37</xdr:row>
      <xdr:rowOff>167760</xdr:rowOff>
    </xdr:to>
    <xdr:pic>
      <xdr:nvPicPr>
        <xdr:cNvPr id="91" name="Picture 98" descr=""/>
        <xdr:cNvPicPr/>
      </xdr:nvPicPr>
      <xdr:blipFill>
        <a:blip r:embed="rId92"/>
        <a:stretch/>
      </xdr:blipFill>
      <xdr:spPr>
        <a:xfrm>
          <a:off x="3928320" y="713412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52</xdr:row>
      <xdr:rowOff>19800</xdr:rowOff>
    </xdr:from>
    <xdr:to>
      <xdr:col>4</xdr:col>
      <xdr:colOff>1484640</xdr:colOff>
      <xdr:row>52</xdr:row>
      <xdr:rowOff>168480</xdr:rowOff>
    </xdr:to>
    <xdr:pic>
      <xdr:nvPicPr>
        <xdr:cNvPr id="92" name="Picture 103" descr=""/>
        <xdr:cNvPicPr/>
      </xdr:nvPicPr>
      <xdr:blipFill>
        <a:blip r:embed="rId93"/>
        <a:stretch/>
      </xdr:blipFill>
      <xdr:spPr>
        <a:xfrm>
          <a:off x="3928320" y="999216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24480</xdr:colOff>
      <xdr:row>19</xdr:row>
      <xdr:rowOff>23760</xdr:rowOff>
    </xdr:from>
    <xdr:to>
      <xdr:col>7</xdr:col>
      <xdr:colOff>246240</xdr:colOff>
      <xdr:row>19</xdr:row>
      <xdr:rowOff>172440</xdr:rowOff>
    </xdr:to>
    <xdr:pic>
      <xdr:nvPicPr>
        <xdr:cNvPr id="93" name="Picture 27" descr=""/>
        <xdr:cNvPicPr/>
      </xdr:nvPicPr>
      <xdr:blipFill>
        <a:blip r:embed="rId94"/>
        <a:stretch/>
      </xdr:blipFill>
      <xdr:spPr>
        <a:xfrm>
          <a:off x="5457960" y="370980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1262880</xdr:colOff>
      <xdr:row>35</xdr:row>
      <xdr:rowOff>19080</xdr:rowOff>
    </xdr:from>
    <xdr:to>
      <xdr:col>4</xdr:col>
      <xdr:colOff>1484640</xdr:colOff>
      <xdr:row>35</xdr:row>
      <xdr:rowOff>167760</xdr:rowOff>
    </xdr:to>
    <xdr:pic>
      <xdr:nvPicPr>
        <xdr:cNvPr id="94" name="Picture 107" descr=""/>
        <xdr:cNvPicPr/>
      </xdr:nvPicPr>
      <xdr:blipFill>
        <a:blip r:embed="rId95"/>
        <a:stretch/>
      </xdr:blipFill>
      <xdr:spPr>
        <a:xfrm>
          <a:off x="3928320" y="6753240"/>
          <a:ext cx="221760" cy="148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1258200</xdr:colOff>
      <xdr:row>50</xdr:row>
      <xdr:rowOff>19800</xdr:rowOff>
    </xdr:from>
    <xdr:to>
      <xdr:col>4</xdr:col>
      <xdr:colOff>1479960</xdr:colOff>
      <xdr:row>50</xdr:row>
      <xdr:rowOff>168480</xdr:rowOff>
    </xdr:to>
    <xdr:pic>
      <xdr:nvPicPr>
        <xdr:cNvPr id="95" name="Picture 111" descr=""/>
        <xdr:cNvPicPr/>
      </xdr:nvPicPr>
      <xdr:blipFill>
        <a:blip r:embed="rId96"/>
        <a:stretch/>
      </xdr:blipFill>
      <xdr:spPr>
        <a:xfrm>
          <a:off x="3923640" y="9611280"/>
          <a:ext cx="221760" cy="148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excely.com/football/2018-fifa-world-cup-schedule.shtml" TargetMode="External"/><Relationship Id="rId2" Type="http://schemas.openxmlformats.org/officeDocument/2006/relationships/hyperlink" Target="http://www.excely.com/football/fifa-world-cup-statistics.shtml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</row>
    <row r="2" customFormat="false" ht="15" hidden="false" customHeight="false" outlineLevel="0" collapsed="false">
      <c r="A2" s="0" t="s">
        <v>43</v>
      </c>
      <c r="B2" s="0" t="s">
        <v>44</v>
      </c>
      <c r="C2" s="1" t="s">
        <v>45</v>
      </c>
      <c r="D2" s="0" t="s">
        <v>46</v>
      </c>
      <c r="E2" s="0" t="s">
        <v>47</v>
      </c>
      <c r="F2" s="0" t="s">
        <v>48</v>
      </c>
      <c r="G2" s="0" t="s">
        <v>49</v>
      </c>
      <c r="H2" s="2" t="s">
        <v>50</v>
      </c>
      <c r="I2" s="0" t="s">
        <v>51</v>
      </c>
      <c r="J2" s="0" t="s">
        <v>52</v>
      </c>
      <c r="K2" s="0" t="s">
        <v>53</v>
      </c>
      <c r="L2" s="0" t="s">
        <v>54</v>
      </c>
      <c r="M2" s="0" t="s">
        <v>55</v>
      </c>
      <c r="N2" s="0" t="s">
        <v>56</v>
      </c>
      <c r="O2" s="0" t="s">
        <v>57</v>
      </c>
      <c r="P2" s="0" t="s">
        <v>58</v>
      </c>
      <c r="Q2" s="0" t="s">
        <v>59</v>
      </c>
      <c r="R2" s="0" t="s">
        <v>60</v>
      </c>
      <c r="S2" s="0" t="s">
        <v>61</v>
      </c>
      <c r="T2" s="0" t="s">
        <v>62</v>
      </c>
      <c r="U2" s="0" t="s">
        <v>63</v>
      </c>
      <c r="V2" s="0" t="s">
        <v>64</v>
      </c>
      <c r="W2" s="0" t="s">
        <v>65</v>
      </c>
      <c r="X2" s="0" t="s">
        <v>66</v>
      </c>
      <c r="Y2" s="0" t="s">
        <v>67</v>
      </c>
      <c r="Z2" s="0" t="s">
        <v>68</v>
      </c>
      <c r="AA2" s="0" t="s">
        <v>69</v>
      </c>
      <c r="AB2" s="1" t="s">
        <v>70</v>
      </c>
      <c r="AC2" s="0" t="s">
        <v>71</v>
      </c>
      <c r="AD2" s="0" t="s">
        <v>72</v>
      </c>
      <c r="AE2" s="0" t="s">
        <v>73</v>
      </c>
      <c r="AF2" s="0" t="s">
        <v>74</v>
      </c>
      <c r="AG2" s="0" t="s">
        <v>75</v>
      </c>
      <c r="AH2" s="0" t="s">
        <v>76</v>
      </c>
      <c r="AI2" s="0" t="s">
        <v>77</v>
      </c>
      <c r="AJ2" s="0" t="s">
        <v>78</v>
      </c>
      <c r="AK2" s="0" t="s">
        <v>79</v>
      </c>
      <c r="AL2" s="1" t="s">
        <v>80</v>
      </c>
      <c r="AM2" s="0" t="s">
        <v>81</v>
      </c>
      <c r="AN2" s="0" t="s">
        <v>82</v>
      </c>
      <c r="AO2" s="3" t="s">
        <v>83</v>
      </c>
      <c r="AP2" s="1" t="s">
        <v>84</v>
      </c>
      <c r="AQ2" s="0" t="s">
        <v>85</v>
      </c>
    </row>
    <row r="3" customFormat="false" ht="15" hidden="false" customHeight="false" outlineLevel="0" collapsed="false">
      <c r="A3" s="0" t="s">
        <v>86</v>
      </c>
      <c r="B3" s="0" t="s">
        <v>87</v>
      </c>
      <c r="C3" s="1" t="s">
        <v>88</v>
      </c>
      <c r="D3" s="0" t="s">
        <v>89</v>
      </c>
      <c r="E3" s="0" t="s">
        <v>90</v>
      </c>
      <c r="F3" s="0" t="s">
        <v>91</v>
      </c>
      <c r="G3" s="0" t="s">
        <v>92</v>
      </c>
      <c r="H3" s="2" t="s">
        <v>93</v>
      </c>
      <c r="I3" s="2" t="s">
        <v>94</v>
      </c>
      <c r="J3" s="0" t="s">
        <v>95</v>
      </c>
      <c r="K3" s="0" t="s">
        <v>96</v>
      </c>
      <c r="L3" s="0" t="s">
        <v>97</v>
      </c>
      <c r="M3" s="0" t="s">
        <v>98</v>
      </c>
      <c r="N3" s="0" t="s">
        <v>99</v>
      </c>
      <c r="O3" s="0" t="s">
        <v>100</v>
      </c>
      <c r="P3" s="0" t="s">
        <v>101</v>
      </c>
      <c r="Q3" s="0" t="s">
        <v>102</v>
      </c>
      <c r="R3" s="1" t="s">
        <v>103</v>
      </c>
      <c r="S3" s="0" t="s">
        <v>104</v>
      </c>
      <c r="T3" s="0" t="s">
        <v>105</v>
      </c>
      <c r="U3" s="0" t="s">
        <v>106</v>
      </c>
      <c r="V3" s="0" t="s">
        <v>107</v>
      </c>
      <c r="W3" s="2" t="s">
        <v>108</v>
      </c>
      <c r="X3" s="0" t="s">
        <v>109</v>
      </c>
      <c r="Y3" s="0" t="s">
        <v>110</v>
      </c>
      <c r="Z3" s="0" t="s">
        <v>111</v>
      </c>
      <c r="AA3" s="0" t="s">
        <v>112</v>
      </c>
      <c r="AB3" s="1" t="s">
        <v>113</v>
      </c>
      <c r="AC3" s="0" t="s">
        <v>114</v>
      </c>
      <c r="AD3" s="0" t="s">
        <v>115</v>
      </c>
      <c r="AE3" s="0" t="s">
        <v>116</v>
      </c>
      <c r="AF3" s="0" t="s">
        <v>117</v>
      </c>
      <c r="AG3" s="0" t="s">
        <v>118</v>
      </c>
      <c r="AH3" s="0" t="s">
        <v>119</v>
      </c>
      <c r="AI3" s="0" t="s">
        <v>120</v>
      </c>
      <c r="AJ3" s="0" t="s">
        <v>115</v>
      </c>
      <c r="AK3" s="0" t="s">
        <v>121</v>
      </c>
      <c r="AL3" s="1" t="s">
        <v>122</v>
      </c>
      <c r="AM3" s="0" t="s">
        <v>123</v>
      </c>
      <c r="AN3" s="0" t="s">
        <v>124</v>
      </c>
      <c r="AO3" s="0" t="s">
        <v>125</v>
      </c>
      <c r="AP3" s="1" t="s">
        <v>126</v>
      </c>
      <c r="AQ3" s="0" t="s">
        <v>127</v>
      </c>
    </row>
    <row r="4" customFormat="false" ht="15" hidden="false" customHeight="false" outlineLevel="0" collapsed="false">
      <c r="A4" s="0" t="s">
        <v>128</v>
      </c>
      <c r="B4" s="0" t="s">
        <v>129</v>
      </c>
      <c r="C4" s="1" t="s">
        <v>130</v>
      </c>
      <c r="D4" s="0" t="s">
        <v>131</v>
      </c>
      <c r="E4" s="0" t="s">
        <v>132</v>
      </c>
      <c r="F4" s="0" t="s">
        <v>133</v>
      </c>
      <c r="G4" s="0" t="s">
        <v>134</v>
      </c>
      <c r="H4" s="0" t="s">
        <v>135</v>
      </c>
      <c r="I4" s="2" t="s">
        <v>136</v>
      </c>
      <c r="J4" s="0" t="s">
        <v>137</v>
      </c>
      <c r="K4" s="0" t="s">
        <v>138</v>
      </c>
      <c r="L4" s="0" t="s">
        <v>139</v>
      </c>
      <c r="M4" s="0" t="s">
        <v>140</v>
      </c>
      <c r="N4" s="0" t="s">
        <v>141</v>
      </c>
      <c r="O4" s="0" t="s">
        <v>142</v>
      </c>
      <c r="P4" s="0" t="s">
        <v>143</v>
      </c>
      <c r="Q4" s="0" t="s">
        <v>144</v>
      </c>
      <c r="R4" s="1" t="s">
        <v>145</v>
      </c>
      <c r="S4" s="0" t="s">
        <v>146</v>
      </c>
      <c r="T4" s="0" t="s">
        <v>147</v>
      </c>
      <c r="U4" s="0" t="s">
        <v>148</v>
      </c>
      <c r="V4" s="0" t="s">
        <v>149</v>
      </c>
      <c r="W4" s="0" t="s">
        <v>150</v>
      </c>
      <c r="X4" s="0" t="s">
        <v>151</v>
      </c>
      <c r="Y4" s="0" t="s">
        <v>152</v>
      </c>
      <c r="Z4" s="0" t="s">
        <v>153</v>
      </c>
      <c r="AA4" s="0" t="s">
        <v>154</v>
      </c>
      <c r="AB4" s="1" t="s">
        <v>155</v>
      </c>
      <c r="AC4" s="0" t="s">
        <v>156</v>
      </c>
      <c r="AD4" s="0" t="s">
        <v>157</v>
      </c>
      <c r="AE4" s="0" t="s">
        <v>158</v>
      </c>
      <c r="AF4" s="0" t="s">
        <v>159</v>
      </c>
      <c r="AG4" s="0" t="s">
        <v>160</v>
      </c>
      <c r="AH4" s="0" t="s">
        <v>161</v>
      </c>
      <c r="AI4" s="0" t="s">
        <v>162</v>
      </c>
      <c r="AJ4" s="0" t="s">
        <v>163</v>
      </c>
      <c r="AK4" s="0" t="s">
        <v>164</v>
      </c>
      <c r="AL4" s="1" t="s">
        <v>165</v>
      </c>
      <c r="AM4" s="0" t="s">
        <v>166</v>
      </c>
      <c r="AN4" s="0" t="s">
        <v>167</v>
      </c>
      <c r="AO4" s="0" t="s">
        <v>168</v>
      </c>
      <c r="AP4" s="1" t="s">
        <v>169</v>
      </c>
      <c r="AQ4" s="0" t="s">
        <v>170</v>
      </c>
    </row>
    <row r="5" customFormat="false" ht="15" hidden="false" customHeight="false" outlineLevel="0" collapsed="false">
      <c r="A5" s="0" t="s">
        <v>171</v>
      </c>
      <c r="B5" s="0" t="s">
        <v>172</v>
      </c>
      <c r="C5" s="1" t="s">
        <v>173</v>
      </c>
      <c r="D5" s="0" t="s">
        <v>174</v>
      </c>
      <c r="E5" s="0" t="s">
        <v>175</v>
      </c>
      <c r="F5" s="0" t="s">
        <v>176</v>
      </c>
      <c r="G5" s="0" t="s">
        <v>177</v>
      </c>
      <c r="H5" s="0" t="s">
        <v>178</v>
      </c>
      <c r="I5" s="2" t="s">
        <v>179</v>
      </c>
      <c r="J5" s="0" t="s">
        <v>180</v>
      </c>
      <c r="K5" s="0" t="s">
        <v>181</v>
      </c>
      <c r="L5" s="0" t="s">
        <v>182</v>
      </c>
      <c r="M5" s="0" t="s">
        <v>183</v>
      </c>
      <c r="N5" s="0" t="s">
        <v>184</v>
      </c>
      <c r="O5" s="0" t="s">
        <v>185</v>
      </c>
      <c r="P5" s="0" t="s">
        <v>186</v>
      </c>
      <c r="Q5" s="0" t="s">
        <v>187</v>
      </c>
      <c r="R5" s="1" t="s">
        <v>188</v>
      </c>
      <c r="S5" s="0" t="s">
        <v>189</v>
      </c>
      <c r="T5" s="0" t="s">
        <v>190</v>
      </c>
      <c r="U5" s="0" t="s">
        <v>191</v>
      </c>
      <c r="V5" s="0" t="s">
        <v>192</v>
      </c>
      <c r="W5" s="0" t="s">
        <v>193</v>
      </c>
      <c r="X5" s="0" t="s">
        <v>194</v>
      </c>
      <c r="Y5" s="0" t="s">
        <v>195</v>
      </c>
      <c r="Z5" s="0" t="s">
        <v>196</v>
      </c>
      <c r="AA5" s="0" t="s">
        <v>182</v>
      </c>
      <c r="AB5" s="1" t="s">
        <v>197</v>
      </c>
      <c r="AC5" s="0" t="s">
        <v>198</v>
      </c>
      <c r="AD5" s="0" t="s">
        <v>199</v>
      </c>
      <c r="AE5" s="0" t="s">
        <v>200</v>
      </c>
      <c r="AF5" s="0" t="s">
        <v>201</v>
      </c>
      <c r="AG5" s="0" t="s">
        <v>180</v>
      </c>
      <c r="AH5" s="0" t="s">
        <v>202</v>
      </c>
      <c r="AI5" s="0" t="s">
        <v>203</v>
      </c>
      <c r="AJ5" s="0" t="s">
        <v>204</v>
      </c>
      <c r="AK5" s="0" t="s">
        <v>205</v>
      </c>
      <c r="AL5" s="1" t="s">
        <v>206</v>
      </c>
      <c r="AM5" s="0" t="s">
        <v>207</v>
      </c>
      <c r="AN5" s="0" t="s">
        <v>208</v>
      </c>
      <c r="AO5" s="0" t="s">
        <v>209</v>
      </c>
      <c r="AP5" s="1" t="s">
        <v>210</v>
      </c>
      <c r="AQ5" s="0" t="s">
        <v>211</v>
      </c>
    </row>
    <row r="6" customFormat="false" ht="15" hidden="false" customHeight="false" outlineLevel="0" collapsed="false">
      <c r="A6" s="0" t="s">
        <v>212</v>
      </c>
      <c r="B6" s="0" t="s">
        <v>213</v>
      </c>
      <c r="C6" s="1" t="s">
        <v>214</v>
      </c>
      <c r="D6" s="0" t="s">
        <v>215</v>
      </c>
      <c r="E6" s="0" t="s">
        <v>216</v>
      </c>
      <c r="F6" s="0" t="s">
        <v>217</v>
      </c>
      <c r="G6" s="0" t="s">
        <v>218</v>
      </c>
      <c r="H6" s="2" t="s">
        <v>219</v>
      </c>
      <c r="I6" s="2" t="s">
        <v>220</v>
      </c>
      <c r="J6" s="0" t="s">
        <v>221</v>
      </c>
      <c r="K6" s="0" t="s">
        <v>222</v>
      </c>
      <c r="L6" s="0" t="s">
        <v>223</v>
      </c>
      <c r="M6" s="0" t="s">
        <v>224</v>
      </c>
      <c r="N6" s="0" t="s">
        <v>225</v>
      </c>
      <c r="O6" s="0" t="s">
        <v>226</v>
      </c>
      <c r="P6" s="0" t="s">
        <v>227</v>
      </c>
      <c r="Q6" s="0" t="s">
        <v>228</v>
      </c>
      <c r="R6" s="1" t="s">
        <v>229</v>
      </c>
      <c r="S6" s="0" t="s">
        <v>230</v>
      </c>
      <c r="T6" s="0" t="s">
        <v>231</v>
      </c>
      <c r="U6" s="0" t="s">
        <v>232</v>
      </c>
      <c r="V6" s="0" t="s">
        <v>233</v>
      </c>
      <c r="W6" s="2" t="s">
        <v>234</v>
      </c>
      <c r="X6" s="0" t="s">
        <v>235</v>
      </c>
      <c r="Y6" s="0" t="s">
        <v>236</v>
      </c>
      <c r="Z6" s="0" t="s">
        <v>237</v>
      </c>
      <c r="AA6" s="0" t="s">
        <v>223</v>
      </c>
      <c r="AB6" s="1" t="s">
        <v>238</v>
      </c>
      <c r="AC6" s="0" t="s">
        <v>239</v>
      </c>
      <c r="AD6" s="0" t="s">
        <v>240</v>
      </c>
      <c r="AE6" s="0" t="s">
        <v>223</v>
      </c>
      <c r="AF6" s="0" t="s">
        <v>241</v>
      </c>
      <c r="AG6" s="0" t="s">
        <v>221</v>
      </c>
      <c r="AH6" s="0" t="s">
        <v>222</v>
      </c>
      <c r="AI6" s="0" t="s">
        <v>242</v>
      </c>
      <c r="AJ6" s="0" t="s">
        <v>243</v>
      </c>
      <c r="AK6" s="0" t="s">
        <v>244</v>
      </c>
      <c r="AL6" s="1" t="s">
        <v>245</v>
      </c>
      <c r="AM6" s="0" t="s">
        <v>246</v>
      </c>
      <c r="AN6" s="0" t="s">
        <v>247</v>
      </c>
      <c r="AO6" s="0" t="s">
        <v>248</v>
      </c>
      <c r="AP6" s="1" t="s">
        <v>249</v>
      </c>
      <c r="AQ6" s="0" t="s">
        <v>250</v>
      </c>
    </row>
    <row r="7" customFormat="false" ht="15" hidden="false" customHeight="false" outlineLevel="0" collapsed="false">
      <c r="A7" s="0" t="s">
        <v>251</v>
      </c>
      <c r="B7" s="0" t="s">
        <v>252</v>
      </c>
      <c r="C7" s="1" t="s">
        <v>253</v>
      </c>
      <c r="D7" s="0" t="s">
        <v>254</v>
      </c>
      <c r="E7" s="0" t="s">
        <v>255</v>
      </c>
      <c r="F7" s="0" t="s">
        <v>256</v>
      </c>
      <c r="G7" s="0" t="s">
        <v>257</v>
      </c>
      <c r="H7" s="2" t="s">
        <v>258</v>
      </c>
      <c r="I7" s="2" t="s">
        <v>259</v>
      </c>
      <c r="J7" s="0" t="s">
        <v>260</v>
      </c>
      <c r="K7" s="0" t="s">
        <v>261</v>
      </c>
      <c r="L7" s="0" t="s">
        <v>262</v>
      </c>
      <c r="M7" s="0" t="s">
        <v>263</v>
      </c>
      <c r="N7" s="0" t="s">
        <v>264</v>
      </c>
      <c r="O7" s="0" t="s">
        <v>265</v>
      </c>
      <c r="P7" s="0" t="s">
        <v>266</v>
      </c>
      <c r="Q7" s="0" t="s">
        <v>267</v>
      </c>
      <c r="R7" s="1" t="s">
        <v>268</v>
      </c>
      <c r="S7" s="0" t="s">
        <v>269</v>
      </c>
      <c r="T7" s="0" t="s">
        <v>270</v>
      </c>
      <c r="U7" s="0" t="s">
        <v>271</v>
      </c>
      <c r="V7" s="0" t="s">
        <v>272</v>
      </c>
      <c r="W7" s="0" t="s">
        <v>273</v>
      </c>
      <c r="X7" s="0" t="s">
        <v>274</v>
      </c>
      <c r="Y7" s="0" t="s">
        <v>275</v>
      </c>
      <c r="Z7" s="0" t="s">
        <v>276</v>
      </c>
      <c r="AA7" s="0" t="s">
        <v>277</v>
      </c>
      <c r="AB7" s="1" t="s">
        <v>278</v>
      </c>
      <c r="AC7" s="0" t="s">
        <v>279</v>
      </c>
      <c r="AD7" s="0" t="s">
        <v>280</v>
      </c>
      <c r="AE7" s="0" t="s">
        <v>281</v>
      </c>
      <c r="AF7" s="0" t="s">
        <v>282</v>
      </c>
      <c r="AG7" s="0" t="s">
        <v>260</v>
      </c>
      <c r="AH7" s="0" t="s">
        <v>283</v>
      </c>
      <c r="AI7" s="0" t="s">
        <v>284</v>
      </c>
      <c r="AJ7" s="0" t="s">
        <v>285</v>
      </c>
      <c r="AK7" s="0" t="s">
        <v>286</v>
      </c>
      <c r="AL7" s="1" t="s">
        <v>287</v>
      </c>
      <c r="AM7" s="0" t="s">
        <v>288</v>
      </c>
      <c r="AN7" s="0" t="s">
        <v>289</v>
      </c>
      <c r="AO7" s="0" t="s">
        <v>290</v>
      </c>
      <c r="AP7" s="1" t="s">
        <v>291</v>
      </c>
      <c r="AQ7" s="0" t="s">
        <v>292</v>
      </c>
    </row>
    <row r="8" customFormat="false" ht="15" hidden="false" customHeight="false" outlineLevel="0" collapsed="false">
      <c r="A8" s="0" t="s">
        <v>293</v>
      </c>
      <c r="B8" s="0" t="s">
        <v>294</v>
      </c>
      <c r="C8" s="1" t="s">
        <v>295</v>
      </c>
      <c r="D8" s="0" t="s">
        <v>296</v>
      </c>
      <c r="E8" s="0" t="s">
        <v>293</v>
      </c>
      <c r="F8" s="0" t="s">
        <v>297</v>
      </c>
      <c r="G8" s="0" t="s">
        <v>293</v>
      </c>
      <c r="H8" s="2" t="s">
        <v>298</v>
      </c>
      <c r="I8" s="2" t="s">
        <v>299</v>
      </c>
      <c r="J8" s="0" t="s">
        <v>300</v>
      </c>
      <c r="K8" s="0" t="s">
        <v>301</v>
      </c>
      <c r="L8" s="0" t="s">
        <v>300</v>
      </c>
      <c r="M8" s="0" t="s">
        <v>300</v>
      </c>
      <c r="N8" s="0" t="s">
        <v>300</v>
      </c>
      <c r="O8" s="0" t="s">
        <v>302</v>
      </c>
      <c r="P8" s="0" t="s">
        <v>300</v>
      </c>
      <c r="Q8" s="0" t="s">
        <v>303</v>
      </c>
      <c r="R8" s="1" t="s">
        <v>304</v>
      </c>
      <c r="S8" s="0" t="s">
        <v>305</v>
      </c>
      <c r="T8" s="0" t="s">
        <v>293</v>
      </c>
      <c r="U8" s="0" t="s">
        <v>306</v>
      </c>
      <c r="V8" s="0" t="s">
        <v>300</v>
      </c>
      <c r="W8" s="2" t="s">
        <v>307</v>
      </c>
      <c r="X8" s="0" t="s">
        <v>308</v>
      </c>
      <c r="Y8" s="0" t="s">
        <v>309</v>
      </c>
      <c r="Z8" s="0" t="s">
        <v>310</v>
      </c>
      <c r="AA8" s="0" t="s">
        <v>300</v>
      </c>
      <c r="AB8" s="1" t="s">
        <v>311</v>
      </c>
      <c r="AC8" s="0" t="s">
        <v>312</v>
      </c>
      <c r="AD8" s="0" t="s">
        <v>293</v>
      </c>
      <c r="AE8" s="0" t="s">
        <v>313</v>
      </c>
      <c r="AF8" s="0" t="s">
        <v>297</v>
      </c>
      <c r="AG8" s="0" t="s">
        <v>300</v>
      </c>
      <c r="AH8" s="0" t="s">
        <v>301</v>
      </c>
      <c r="AI8" s="0" t="s">
        <v>300</v>
      </c>
      <c r="AJ8" s="0" t="s">
        <v>293</v>
      </c>
      <c r="AK8" s="0" t="s">
        <v>293</v>
      </c>
      <c r="AL8" s="1" t="s">
        <v>314</v>
      </c>
      <c r="AM8" s="0" t="s">
        <v>293</v>
      </c>
      <c r="AN8" s="0" t="s">
        <v>315</v>
      </c>
      <c r="AO8" s="0" t="s">
        <v>316</v>
      </c>
      <c r="AP8" s="1" t="s">
        <v>317</v>
      </c>
      <c r="AQ8" s="0" t="s">
        <v>297</v>
      </c>
    </row>
    <row r="9" customFormat="false" ht="15" hidden="false" customHeight="false" outlineLevel="0" collapsed="false">
      <c r="A9" s="0" t="s">
        <v>318</v>
      </c>
      <c r="B9" s="0" t="s">
        <v>319</v>
      </c>
      <c r="C9" s="1" t="s">
        <v>320</v>
      </c>
      <c r="D9" s="0" t="s">
        <v>321</v>
      </c>
      <c r="E9" s="0" t="s">
        <v>322</v>
      </c>
      <c r="F9" s="0" t="s">
        <v>323</v>
      </c>
      <c r="G9" s="0" t="s">
        <v>324</v>
      </c>
      <c r="H9" s="2" t="s">
        <v>325</v>
      </c>
      <c r="I9" s="2" t="s">
        <v>326</v>
      </c>
      <c r="J9" s="0" t="s">
        <v>327</v>
      </c>
      <c r="K9" s="0" t="s">
        <v>328</v>
      </c>
      <c r="L9" s="0" t="s">
        <v>329</v>
      </c>
      <c r="M9" s="0" t="s">
        <v>330</v>
      </c>
      <c r="N9" s="0" t="s">
        <v>331</v>
      </c>
      <c r="O9" s="0" t="s">
        <v>332</v>
      </c>
      <c r="P9" s="0" t="s">
        <v>329</v>
      </c>
      <c r="Q9" s="0" t="s">
        <v>333</v>
      </c>
      <c r="R9" s="1" t="s">
        <v>334</v>
      </c>
      <c r="S9" s="0" t="s">
        <v>335</v>
      </c>
      <c r="T9" s="0" t="s">
        <v>336</v>
      </c>
      <c r="U9" s="0" t="s">
        <v>337</v>
      </c>
      <c r="V9" s="0" t="s">
        <v>338</v>
      </c>
      <c r="W9" s="2" t="s">
        <v>339</v>
      </c>
      <c r="X9" s="0" t="s">
        <v>340</v>
      </c>
      <c r="Y9" s="0" t="s">
        <v>323</v>
      </c>
      <c r="Z9" s="0" t="s">
        <v>341</v>
      </c>
      <c r="AA9" s="0" t="s">
        <v>329</v>
      </c>
      <c r="AB9" s="1" t="s">
        <v>342</v>
      </c>
      <c r="AC9" s="0" t="s">
        <v>327</v>
      </c>
      <c r="AD9" s="0" t="s">
        <v>343</v>
      </c>
      <c r="AE9" s="0" t="s">
        <v>327</v>
      </c>
      <c r="AF9" s="0" t="s">
        <v>344</v>
      </c>
      <c r="AG9" s="0" t="s">
        <v>327</v>
      </c>
      <c r="AH9" s="0" t="s">
        <v>328</v>
      </c>
      <c r="AI9" s="0" t="s">
        <v>328</v>
      </c>
      <c r="AJ9" s="0" t="s">
        <v>343</v>
      </c>
      <c r="AK9" s="0" t="s">
        <v>341</v>
      </c>
      <c r="AL9" s="1" t="s">
        <v>345</v>
      </c>
      <c r="AM9" s="0" t="s">
        <v>324</v>
      </c>
      <c r="AN9" s="0" t="s">
        <v>346</v>
      </c>
      <c r="AO9" s="0" t="s">
        <v>323</v>
      </c>
      <c r="AP9" s="1" t="s">
        <v>126</v>
      </c>
      <c r="AQ9" s="0" t="s">
        <v>347</v>
      </c>
    </row>
    <row r="10" customFormat="false" ht="15" hidden="false" customHeight="false" outlineLevel="0" collapsed="false">
      <c r="A10" s="0" t="s">
        <v>348</v>
      </c>
      <c r="B10" s="0" t="s">
        <v>349</v>
      </c>
      <c r="C10" s="1" t="s">
        <v>350</v>
      </c>
      <c r="D10" s="0" t="s">
        <v>351</v>
      </c>
      <c r="E10" s="0" t="s">
        <v>352</v>
      </c>
      <c r="F10" s="0" t="s">
        <v>353</v>
      </c>
      <c r="G10" s="0" t="s">
        <v>354</v>
      </c>
      <c r="H10" s="2" t="s">
        <v>355</v>
      </c>
      <c r="I10" s="2" t="s">
        <v>356</v>
      </c>
      <c r="J10" s="0" t="s">
        <v>348</v>
      </c>
      <c r="K10" s="0" t="s">
        <v>357</v>
      </c>
      <c r="L10" s="0" t="s">
        <v>358</v>
      </c>
      <c r="M10" s="0" t="s">
        <v>359</v>
      </c>
      <c r="N10" s="0" t="s">
        <v>354</v>
      </c>
      <c r="O10" s="0" t="s">
        <v>360</v>
      </c>
      <c r="P10" s="0" t="s">
        <v>358</v>
      </c>
      <c r="Q10" s="0" t="s">
        <v>361</v>
      </c>
      <c r="R10" s="1" t="s">
        <v>362</v>
      </c>
      <c r="S10" s="0" t="s">
        <v>363</v>
      </c>
      <c r="T10" s="0" t="s">
        <v>364</v>
      </c>
      <c r="U10" s="0" t="s">
        <v>349</v>
      </c>
      <c r="V10" s="0" t="s">
        <v>365</v>
      </c>
      <c r="W10" s="2" t="s">
        <v>366</v>
      </c>
      <c r="X10" s="0" t="s">
        <v>367</v>
      </c>
      <c r="Y10" s="0" t="s">
        <v>368</v>
      </c>
      <c r="Z10" s="0" t="s">
        <v>349</v>
      </c>
      <c r="AA10" s="0" t="s">
        <v>369</v>
      </c>
      <c r="AB10" s="1" t="s">
        <v>370</v>
      </c>
      <c r="AC10" s="0" t="s">
        <v>363</v>
      </c>
      <c r="AD10" s="0" t="s">
        <v>354</v>
      </c>
      <c r="AE10" s="0" t="s">
        <v>354</v>
      </c>
      <c r="AF10" s="0" t="s">
        <v>371</v>
      </c>
      <c r="AG10" s="0" t="s">
        <v>372</v>
      </c>
      <c r="AH10" s="0" t="s">
        <v>357</v>
      </c>
      <c r="AI10" s="0" t="s">
        <v>348</v>
      </c>
      <c r="AJ10" s="0" t="s">
        <v>354</v>
      </c>
      <c r="AK10" s="0" t="s">
        <v>373</v>
      </c>
      <c r="AL10" s="1" t="s">
        <v>374</v>
      </c>
      <c r="AM10" s="0" t="s">
        <v>352</v>
      </c>
      <c r="AN10" s="0" t="s">
        <v>375</v>
      </c>
      <c r="AO10" s="0" t="s">
        <v>376</v>
      </c>
      <c r="AP10" s="1" t="s">
        <v>377</v>
      </c>
      <c r="AQ10" s="0" t="s">
        <v>378</v>
      </c>
    </row>
    <row r="11" customFormat="false" ht="15" hidden="false" customHeight="false" outlineLevel="0" collapsed="false">
      <c r="A11" s="0" t="s">
        <v>379</v>
      </c>
      <c r="B11" s="0" t="s">
        <v>380</v>
      </c>
      <c r="C11" s="1" t="s">
        <v>381</v>
      </c>
      <c r="D11" s="0" t="s">
        <v>382</v>
      </c>
      <c r="E11" s="0" t="s">
        <v>383</v>
      </c>
      <c r="F11" s="0" t="s">
        <v>384</v>
      </c>
      <c r="G11" s="0" t="s">
        <v>365</v>
      </c>
      <c r="H11" s="2" t="s">
        <v>385</v>
      </c>
      <c r="I11" s="2" t="s">
        <v>386</v>
      </c>
      <c r="J11" s="0" t="s">
        <v>379</v>
      </c>
      <c r="K11" s="0" t="s">
        <v>387</v>
      </c>
      <c r="L11" s="0" t="s">
        <v>387</v>
      </c>
      <c r="M11" s="0" t="s">
        <v>379</v>
      </c>
      <c r="N11" s="0" t="s">
        <v>387</v>
      </c>
      <c r="O11" s="0" t="s">
        <v>388</v>
      </c>
      <c r="P11" s="0" t="s">
        <v>369</v>
      </c>
      <c r="Q11" s="0" t="s">
        <v>389</v>
      </c>
      <c r="R11" s="1" t="s">
        <v>390</v>
      </c>
      <c r="S11" s="0" t="s">
        <v>391</v>
      </c>
      <c r="T11" s="0" t="s">
        <v>392</v>
      </c>
      <c r="U11" s="0" t="s">
        <v>393</v>
      </c>
      <c r="V11" s="0" t="s">
        <v>387</v>
      </c>
      <c r="W11" s="2" t="s">
        <v>394</v>
      </c>
      <c r="X11" s="0" t="s">
        <v>349</v>
      </c>
      <c r="Y11" s="0" t="s">
        <v>384</v>
      </c>
      <c r="Z11" s="0" t="s">
        <v>395</v>
      </c>
      <c r="AA11" s="0" t="s">
        <v>387</v>
      </c>
      <c r="AB11" s="1" t="s">
        <v>396</v>
      </c>
      <c r="AC11" s="0" t="s">
        <v>357</v>
      </c>
      <c r="AD11" s="0" t="s">
        <v>387</v>
      </c>
      <c r="AE11" s="0" t="s">
        <v>387</v>
      </c>
      <c r="AF11" s="0" t="s">
        <v>397</v>
      </c>
      <c r="AG11" s="0" t="s">
        <v>398</v>
      </c>
      <c r="AH11" s="0" t="s">
        <v>387</v>
      </c>
      <c r="AI11" s="0" t="s">
        <v>379</v>
      </c>
      <c r="AJ11" s="0" t="s">
        <v>365</v>
      </c>
      <c r="AK11" s="0" t="s">
        <v>387</v>
      </c>
      <c r="AL11" s="1" t="s">
        <v>399</v>
      </c>
      <c r="AM11" s="0" t="s">
        <v>365</v>
      </c>
      <c r="AN11" s="0" t="s">
        <v>400</v>
      </c>
      <c r="AO11" s="0" t="s">
        <v>397</v>
      </c>
      <c r="AP11" s="1" t="s">
        <v>401</v>
      </c>
      <c r="AQ11" s="0" t="s">
        <v>402</v>
      </c>
    </row>
    <row r="12" customFormat="false" ht="15" hidden="false" customHeight="false" outlineLevel="0" collapsed="false">
      <c r="A12" s="0" t="s">
        <v>403</v>
      </c>
      <c r="B12" s="0" t="s">
        <v>404</v>
      </c>
      <c r="C12" s="1" t="s">
        <v>405</v>
      </c>
      <c r="D12" s="0" t="s">
        <v>406</v>
      </c>
      <c r="E12" s="0" t="s">
        <v>407</v>
      </c>
      <c r="F12" s="0" t="s">
        <v>408</v>
      </c>
      <c r="G12" s="0" t="s">
        <v>409</v>
      </c>
      <c r="H12" s="2" t="s">
        <v>410</v>
      </c>
      <c r="I12" s="2" t="s">
        <v>411</v>
      </c>
      <c r="J12" s="0" t="s">
        <v>403</v>
      </c>
      <c r="K12" s="0" t="s">
        <v>395</v>
      </c>
      <c r="L12" s="0" t="s">
        <v>412</v>
      </c>
      <c r="M12" s="0" t="s">
        <v>365</v>
      </c>
      <c r="N12" s="0" t="s">
        <v>403</v>
      </c>
      <c r="O12" s="0" t="s">
        <v>413</v>
      </c>
      <c r="P12" s="0" t="s">
        <v>403</v>
      </c>
      <c r="Q12" s="0" t="s">
        <v>414</v>
      </c>
      <c r="R12" s="1" t="s">
        <v>415</v>
      </c>
      <c r="S12" s="0" t="s">
        <v>416</v>
      </c>
      <c r="T12" s="0" t="s">
        <v>417</v>
      </c>
      <c r="U12" s="0" t="s">
        <v>418</v>
      </c>
      <c r="V12" s="0" t="s">
        <v>398</v>
      </c>
      <c r="W12" s="2" t="s">
        <v>419</v>
      </c>
      <c r="X12" s="0" t="s">
        <v>420</v>
      </c>
      <c r="Y12" s="0" t="s">
        <v>421</v>
      </c>
      <c r="Z12" s="0" t="s">
        <v>422</v>
      </c>
      <c r="AA12" s="0" t="s">
        <v>400</v>
      </c>
      <c r="AB12" s="1" t="s">
        <v>423</v>
      </c>
      <c r="AC12" s="0" t="s">
        <v>395</v>
      </c>
      <c r="AD12" s="0" t="s">
        <v>409</v>
      </c>
      <c r="AE12" s="0" t="s">
        <v>409</v>
      </c>
      <c r="AF12" s="0" t="s">
        <v>421</v>
      </c>
      <c r="AG12" s="0" t="s">
        <v>424</v>
      </c>
      <c r="AH12" s="0" t="s">
        <v>395</v>
      </c>
      <c r="AI12" s="0" t="s">
        <v>403</v>
      </c>
      <c r="AJ12" s="0" t="s">
        <v>403</v>
      </c>
      <c r="AK12" s="0" t="s">
        <v>352</v>
      </c>
      <c r="AL12" s="1" t="s">
        <v>425</v>
      </c>
      <c r="AM12" s="0" t="s">
        <v>426</v>
      </c>
      <c r="AN12" s="0" t="s">
        <v>407</v>
      </c>
      <c r="AO12" s="0" t="s">
        <v>421</v>
      </c>
      <c r="AP12" s="1" t="s">
        <v>427</v>
      </c>
      <c r="AQ12" s="0" t="s">
        <v>428</v>
      </c>
    </row>
    <row r="13" customFormat="false" ht="15" hidden="false" customHeight="false" outlineLevel="0" collapsed="false">
      <c r="A13" s="0" t="s">
        <v>349</v>
      </c>
      <c r="B13" s="0" t="s">
        <v>407</v>
      </c>
      <c r="C13" s="1" t="s">
        <v>429</v>
      </c>
      <c r="D13" s="0" t="s">
        <v>430</v>
      </c>
      <c r="E13" s="0" t="s">
        <v>363</v>
      </c>
      <c r="F13" s="0" t="s">
        <v>431</v>
      </c>
      <c r="G13" s="0" t="s">
        <v>398</v>
      </c>
      <c r="H13" s="2" t="s">
        <v>432</v>
      </c>
      <c r="I13" s="2" t="s">
        <v>433</v>
      </c>
      <c r="J13" s="0" t="s">
        <v>349</v>
      </c>
      <c r="K13" s="0" t="s">
        <v>398</v>
      </c>
      <c r="L13" s="0" t="s">
        <v>400</v>
      </c>
      <c r="M13" s="0" t="s">
        <v>387</v>
      </c>
      <c r="N13" s="0" t="s">
        <v>416</v>
      </c>
      <c r="O13" s="0" t="s">
        <v>434</v>
      </c>
      <c r="P13" s="0" t="s">
        <v>435</v>
      </c>
      <c r="Q13" s="0" t="s">
        <v>436</v>
      </c>
      <c r="R13" s="1" t="s">
        <v>437</v>
      </c>
      <c r="S13" s="0" t="s">
        <v>387</v>
      </c>
      <c r="T13" s="0" t="s">
        <v>438</v>
      </c>
      <c r="U13" s="0" t="s">
        <v>400</v>
      </c>
      <c r="V13" s="0" t="s">
        <v>369</v>
      </c>
      <c r="W13" s="2" t="s">
        <v>439</v>
      </c>
      <c r="X13" s="0" t="s">
        <v>398</v>
      </c>
      <c r="Y13" s="0" t="s">
        <v>371</v>
      </c>
      <c r="Z13" s="0" t="s">
        <v>400</v>
      </c>
      <c r="AA13" s="0" t="s">
        <v>393</v>
      </c>
      <c r="AB13" s="1" t="s">
        <v>440</v>
      </c>
      <c r="AC13" s="0" t="s">
        <v>398</v>
      </c>
      <c r="AD13" s="0" t="s">
        <v>416</v>
      </c>
      <c r="AE13" s="0" t="s">
        <v>422</v>
      </c>
      <c r="AF13" s="0" t="s">
        <v>384</v>
      </c>
      <c r="AG13" s="0" t="s">
        <v>422</v>
      </c>
      <c r="AH13" s="0" t="s">
        <v>398</v>
      </c>
      <c r="AI13" s="0" t="s">
        <v>349</v>
      </c>
      <c r="AJ13" s="0" t="s">
        <v>398</v>
      </c>
      <c r="AK13" s="0" t="s">
        <v>380</v>
      </c>
      <c r="AL13" s="1" t="s">
        <v>441</v>
      </c>
      <c r="AM13" s="0" t="s">
        <v>363</v>
      </c>
      <c r="AN13" s="0" t="s">
        <v>426</v>
      </c>
      <c r="AO13" s="0" t="s">
        <v>384</v>
      </c>
      <c r="AP13" s="1" t="s">
        <v>442</v>
      </c>
      <c r="AQ13" s="0" t="s">
        <v>353</v>
      </c>
    </row>
    <row r="14" customFormat="false" ht="15" hidden="false" customHeight="false" outlineLevel="0" collapsed="false">
      <c r="A14" s="0" t="s">
        <v>443</v>
      </c>
      <c r="B14" s="0" t="s">
        <v>444</v>
      </c>
      <c r="C14" s="1" t="s">
        <v>445</v>
      </c>
      <c r="D14" s="0" t="s">
        <v>446</v>
      </c>
      <c r="E14" s="0" t="s">
        <v>447</v>
      </c>
      <c r="F14" s="0" t="s">
        <v>448</v>
      </c>
      <c r="G14" s="0" t="s">
        <v>449</v>
      </c>
      <c r="H14" s="2" t="s">
        <v>450</v>
      </c>
      <c r="I14" s="2" t="s">
        <v>451</v>
      </c>
      <c r="J14" s="0" t="s">
        <v>443</v>
      </c>
      <c r="K14" s="0" t="s">
        <v>452</v>
      </c>
      <c r="L14" s="0" t="s">
        <v>453</v>
      </c>
      <c r="M14" s="0" t="s">
        <v>454</v>
      </c>
      <c r="N14" s="0" t="s">
        <v>455</v>
      </c>
      <c r="O14" s="0" t="s">
        <v>456</v>
      </c>
      <c r="P14" s="0" t="s">
        <v>457</v>
      </c>
      <c r="Q14" s="0" t="s">
        <v>458</v>
      </c>
      <c r="R14" s="1" t="s">
        <v>459</v>
      </c>
      <c r="S14" s="0" t="s">
        <v>460</v>
      </c>
      <c r="T14" s="0" t="s">
        <v>461</v>
      </c>
      <c r="U14" s="0" t="s">
        <v>462</v>
      </c>
      <c r="V14" s="0" t="s">
        <v>463</v>
      </c>
      <c r="W14" s="2" t="s">
        <v>464</v>
      </c>
      <c r="X14" s="0" t="s">
        <v>465</v>
      </c>
      <c r="Y14" s="0" t="s">
        <v>466</v>
      </c>
      <c r="Z14" s="0" t="s">
        <v>467</v>
      </c>
      <c r="AA14" s="0" t="s">
        <v>468</v>
      </c>
      <c r="AB14" s="1" t="s">
        <v>469</v>
      </c>
      <c r="AC14" s="0" t="s">
        <v>470</v>
      </c>
      <c r="AD14" s="0" t="s">
        <v>471</v>
      </c>
      <c r="AE14" s="0" t="s">
        <v>472</v>
      </c>
      <c r="AF14" s="0" t="s">
        <v>473</v>
      </c>
      <c r="AG14" s="0" t="s">
        <v>474</v>
      </c>
      <c r="AH14" s="0" t="s">
        <v>475</v>
      </c>
      <c r="AI14" s="0" t="s">
        <v>443</v>
      </c>
      <c r="AJ14" s="0" t="s">
        <v>449</v>
      </c>
      <c r="AK14" s="0" t="s">
        <v>476</v>
      </c>
      <c r="AL14" s="1" t="s">
        <v>477</v>
      </c>
      <c r="AM14" s="0" t="s">
        <v>478</v>
      </c>
      <c r="AN14" s="0" t="s">
        <v>479</v>
      </c>
      <c r="AO14" s="0" t="s">
        <v>480</v>
      </c>
      <c r="AP14" s="1" t="s">
        <v>481</v>
      </c>
      <c r="AQ14" s="0" t="s">
        <v>482</v>
      </c>
    </row>
    <row r="15" customFormat="false" ht="15" hidden="false" customHeight="false" outlineLevel="0" collapsed="false">
      <c r="A15" s="0" t="s">
        <v>483</v>
      </c>
      <c r="B15" s="0" t="s">
        <v>484</v>
      </c>
      <c r="C15" s="1" t="s">
        <v>485</v>
      </c>
      <c r="D15" s="0" t="s">
        <v>486</v>
      </c>
      <c r="E15" s="0" t="s">
        <v>487</v>
      </c>
      <c r="F15" s="0" t="s">
        <v>488</v>
      </c>
      <c r="G15" s="0" t="s">
        <v>489</v>
      </c>
      <c r="H15" s="2" t="s">
        <v>490</v>
      </c>
      <c r="I15" s="2" t="s">
        <v>491</v>
      </c>
      <c r="J15" s="0" t="s">
        <v>483</v>
      </c>
      <c r="K15" s="0" t="s">
        <v>492</v>
      </c>
      <c r="L15" s="0" t="s">
        <v>483</v>
      </c>
      <c r="M15" s="0" t="s">
        <v>483</v>
      </c>
      <c r="N15" s="0" t="s">
        <v>493</v>
      </c>
      <c r="O15" s="0" t="s">
        <v>494</v>
      </c>
      <c r="P15" s="0" t="s">
        <v>495</v>
      </c>
      <c r="Q15" s="0" t="s">
        <v>496</v>
      </c>
      <c r="R15" s="1" t="s">
        <v>497</v>
      </c>
      <c r="S15" s="0" t="s">
        <v>483</v>
      </c>
      <c r="T15" s="0" t="s">
        <v>498</v>
      </c>
      <c r="U15" s="0" t="s">
        <v>499</v>
      </c>
      <c r="V15" s="0" t="s">
        <v>500</v>
      </c>
      <c r="W15" s="2" t="s">
        <v>501</v>
      </c>
      <c r="X15" s="0" t="s">
        <v>502</v>
      </c>
      <c r="Y15" s="0" t="s">
        <v>503</v>
      </c>
      <c r="Z15" s="0" t="s">
        <v>398</v>
      </c>
      <c r="AA15" s="0" t="s">
        <v>398</v>
      </c>
      <c r="AB15" s="1" t="s">
        <v>504</v>
      </c>
      <c r="AC15" s="0" t="s">
        <v>505</v>
      </c>
      <c r="AD15" s="0" t="s">
        <v>398</v>
      </c>
      <c r="AE15" s="0" t="s">
        <v>398</v>
      </c>
      <c r="AF15" s="0" t="s">
        <v>506</v>
      </c>
      <c r="AG15" s="0" t="s">
        <v>507</v>
      </c>
      <c r="AH15" s="0" t="s">
        <v>492</v>
      </c>
      <c r="AI15" s="0" t="s">
        <v>483</v>
      </c>
      <c r="AJ15" s="0" t="s">
        <v>493</v>
      </c>
      <c r="AK15" s="0" t="s">
        <v>398</v>
      </c>
      <c r="AL15" s="1" t="s">
        <v>508</v>
      </c>
      <c r="AM15" s="0" t="s">
        <v>398</v>
      </c>
      <c r="AN15" s="0" t="s">
        <v>509</v>
      </c>
      <c r="AO15" s="0" t="s">
        <v>368</v>
      </c>
      <c r="AP15" s="1" t="s">
        <v>510</v>
      </c>
      <c r="AQ15" s="0" t="s">
        <v>511</v>
      </c>
    </row>
    <row r="18" customFormat="false" ht="15" hidden="false" customHeight="false" outlineLevel="0" collapsed="false">
      <c r="A18" s="0" t="s">
        <v>512</v>
      </c>
      <c r="B18" s="0" t="s">
        <v>513</v>
      </c>
      <c r="C18" s="1" t="s">
        <v>514</v>
      </c>
      <c r="D18" s="0" t="s">
        <v>515</v>
      </c>
      <c r="E18" s="0" t="s">
        <v>426</v>
      </c>
      <c r="F18" s="0" t="s">
        <v>516</v>
      </c>
      <c r="G18" s="0" t="s">
        <v>517</v>
      </c>
      <c r="H18" s="2" t="s">
        <v>518</v>
      </c>
      <c r="I18" s="0" t="s">
        <v>512</v>
      </c>
      <c r="J18" s="0" t="s">
        <v>519</v>
      </c>
      <c r="K18" s="0" t="s">
        <v>520</v>
      </c>
      <c r="L18" s="0" t="s">
        <v>521</v>
      </c>
      <c r="M18" s="0" t="s">
        <v>522</v>
      </c>
      <c r="N18" s="0" t="s">
        <v>512</v>
      </c>
      <c r="O18" s="0" t="s">
        <v>523</v>
      </c>
      <c r="P18" s="0" t="s">
        <v>512</v>
      </c>
      <c r="Q18" s="0" t="s">
        <v>524</v>
      </c>
      <c r="R18" s="1" t="s">
        <v>525</v>
      </c>
      <c r="S18" s="0" t="s">
        <v>526</v>
      </c>
      <c r="T18" s="0" t="s">
        <v>527</v>
      </c>
      <c r="U18" s="0" t="s">
        <v>512</v>
      </c>
      <c r="V18" s="0" t="s">
        <v>528</v>
      </c>
      <c r="W18" s="2" t="s">
        <v>529</v>
      </c>
      <c r="X18" s="0" t="s">
        <v>530</v>
      </c>
      <c r="Y18" s="0" t="s">
        <v>516</v>
      </c>
      <c r="Z18" s="0" t="s">
        <v>531</v>
      </c>
      <c r="AA18" s="0" t="s">
        <v>521</v>
      </c>
      <c r="AB18" s="1" t="s">
        <v>532</v>
      </c>
      <c r="AC18" s="0" t="s">
        <v>533</v>
      </c>
      <c r="AD18" s="0" t="s">
        <v>528</v>
      </c>
      <c r="AE18" s="0" t="s">
        <v>534</v>
      </c>
      <c r="AF18" s="0" t="s">
        <v>535</v>
      </c>
      <c r="AG18" s="0" t="s">
        <v>519</v>
      </c>
      <c r="AH18" s="0" t="s">
        <v>520</v>
      </c>
      <c r="AI18" s="0" t="s">
        <v>519</v>
      </c>
      <c r="AJ18" s="0" t="s">
        <v>512</v>
      </c>
      <c r="AK18" s="0" t="s">
        <v>536</v>
      </c>
      <c r="AL18" s="1" t="s">
        <v>537</v>
      </c>
      <c r="AM18" s="0" t="s">
        <v>538</v>
      </c>
      <c r="AN18" s="0" t="s">
        <v>539</v>
      </c>
      <c r="AO18" s="0" t="s">
        <v>540</v>
      </c>
      <c r="AP18" s="1" t="s">
        <v>541</v>
      </c>
      <c r="AQ18" s="0" t="s">
        <v>542</v>
      </c>
    </row>
    <row r="19" customFormat="false" ht="15" hidden="false" customHeight="false" outlineLevel="0" collapsed="false">
      <c r="A19" s="0" t="s">
        <v>543</v>
      </c>
      <c r="B19" s="0" t="s">
        <v>544</v>
      </c>
      <c r="C19" s="1" t="s">
        <v>545</v>
      </c>
      <c r="D19" s="0" t="s">
        <v>546</v>
      </c>
      <c r="E19" s="0" t="s">
        <v>547</v>
      </c>
      <c r="F19" s="0" t="s">
        <v>548</v>
      </c>
      <c r="G19" s="0" t="s">
        <v>549</v>
      </c>
      <c r="H19" s="2" t="s">
        <v>550</v>
      </c>
      <c r="I19" s="0" t="s">
        <v>543</v>
      </c>
      <c r="J19" s="0" t="s">
        <v>551</v>
      </c>
      <c r="K19" s="0" t="s">
        <v>552</v>
      </c>
      <c r="L19" s="0" t="s">
        <v>553</v>
      </c>
      <c r="M19" s="0" t="s">
        <v>554</v>
      </c>
      <c r="N19" s="0" t="s">
        <v>543</v>
      </c>
      <c r="O19" s="0" t="s">
        <v>555</v>
      </c>
      <c r="P19" s="0" t="s">
        <v>543</v>
      </c>
      <c r="Q19" s="0" t="s">
        <v>556</v>
      </c>
      <c r="R19" s="1" t="s">
        <v>557</v>
      </c>
      <c r="S19" s="0" t="s">
        <v>558</v>
      </c>
      <c r="T19" s="0" t="s">
        <v>559</v>
      </c>
      <c r="U19" s="0" t="s">
        <v>560</v>
      </c>
      <c r="V19" s="0" t="s">
        <v>561</v>
      </c>
      <c r="W19" s="2" t="s">
        <v>562</v>
      </c>
      <c r="X19" s="0" t="s">
        <v>563</v>
      </c>
      <c r="Y19" s="0" t="s">
        <v>548</v>
      </c>
      <c r="Z19" s="0" t="s">
        <v>564</v>
      </c>
      <c r="AA19" s="0" t="s">
        <v>553</v>
      </c>
      <c r="AB19" s="1" t="s">
        <v>565</v>
      </c>
      <c r="AC19" s="0" t="s">
        <v>566</v>
      </c>
      <c r="AD19" s="0" t="s">
        <v>567</v>
      </c>
      <c r="AE19" s="0" t="s">
        <v>561</v>
      </c>
      <c r="AF19" s="0" t="s">
        <v>568</v>
      </c>
      <c r="AG19" s="0" t="s">
        <v>551</v>
      </c>
      <c r="AH19" s="0" t="s">
        <v>552</v>
      </c>
      <c r="AI19" s="0" t="s">
        <v>551</v>
      </c>
      <c r="AJ19" s="0" t="s">
        <v>543</v>
      </c>
      <c r="AK19" s="0" t="s">
        <v>569</v>
      </c>
      <c r="AL19" s="1" t="s">
        <v>570</v>
      </c>
      <c r="AM19" s="0" t="s">
        <v>571</v>
      </c>
      <c r="AN19" s="0" t="s">
        <v>572</v>
      </c>
      <c r="AO19" s="0" t="s">
        <v>568</v>
      </c>
      <c r="AP19" s="1" t="s">
        <v>573</v>
      </c>
      <c r="AQ19" s="0" t="s">
        <v>574</v>
      </c>
    </row>
    <row r="20" customFormat="false" ht="15" hidden="false" customHeight="false" outlineLevel="0" collapsed="false">
      <c r="A20" s="0" t="s">
        <v>575</v>
      </c>
      <c r="B20" s="0" t="s">
        <v>576</v>
      </c>
      <c r="C20" s="1" t="s">
        <v>577</v>
      </c>
      <c r="D20" s="0" t="s">
        <v>578</v>
      </c>
      <c r="E20" s="0" t="s">
        <v>579</v>
      </c>
      <c r="F20" s="0" t="s">
        <v>580</v>
      </c>
      <c r="G20" s="0" t="s">
        <v>581</v>
      </c>
      <c r="H20" s="2" t="s">
        <v>582</v>
      </c>
      <c r="I20" s="0" t="s">
        <v>575</v>
      </c>
      <c r="J20" s="0" t="s">
        <v>583</v>
      </c>
      <c r="K20" s="0" t="s">
        <v>584</v>
      </c>
      <c r="L20" s="0" t="s">
        <v>585</v>
      </c>
      <c r="M20" s="0" t="s">
        <v>586</v>
      </c>
      <c r="N20" s="0" t="s">
        <v>575</v>
      </c>
      <c r="O20" s="0" t="s">
        <v>587</v>
      </c>
      <c r="P20" s="0" t="s">
        <v>575</v>
      </c>
      <c r="Q20" s="0" t="s">
        <v>588</v>
      </c>
      <c r="R20" s="1" t="s">
        <v>589</v>
      </c>
      <c r="S20" s="0" t="s">
        <v>590</v>
      </c>
      <c r="T20" s="0" t="s">
        <v>591</v>
      </c>
      <c r="U20" s="0" t="s">
        <v>592</v>
      </c>
      <c r="V20" s="0" t="s">
        <v>576</v>
      </c>
      <c r="W20" s="2" t="s">
        <v>593</v>
      </c>
      <c r="X20" s="0" t="s">
        <v>594</v>
      </c>
      <c r="Y20" s="0" t="s">
        <v>595</v>
      </c>
      <c r="Z20" s="0" t="s">
        <v>596</v>
      </c>
      <c r="AA20" s="0" t="s">
        <v>597</v>
      </c>
      <c r="AB20" s="1" t="s">
        <v>598</v>
      </c>
      <c r="AC20" s="0" t="s">
        <v>599</v>
      </c>
      <c r="AD20" s="0" t="s">
        <v>600</v>
      </c>
      <c r="AE20" s="0" t="s">
        <v>576</v>
      </c>
      <c r="AF20" s="0" t="s">
        <v>580</v>
      </c>
      <c r="AG20" s="0" t="s">
        <v>583</v>
      </c>
      <c r="AH20" s="0" t="s">
        <v>601</v>
      </c>
      <c r="AI20" s="0" t="s">
        <v>602</v>
      </c>
      <c r="AJ20" s="0" t="s">
        <v>575</v>
      </c>
      <c r="AK20" s="0" t="s">
        <v>603</v>
      </c>
      <c r="AL20" s="1" t="s">
        <v>604</v>
      </c>
      <c r="AM20" s="0" t="s">
        <v>605</v>
      </c>
      <c r="AN20" s="0" t="s">
        <v>606</v>
      </c>
      <c r="AO20" s="0" t="s">
        <v>580</v>
      </c>
      <c r="AP20" s="1" t="s">
        <v>607</v>
      </c>
      <c r="AQ20" s="0" t="s">
        <v>608</v>
      </c>
    </row>
    <row r="21" customFormat="false" ht="15" hidden="false" customHeight="false" outlineLevel="0" collapsed="false">
      <c r="A21" s="0" t="s">
        <v>609</v>
      </c>
      <c r="B21" s="0" t="s">
        <v>610</v>
      </c>
      <c r="C21" s="1" t="s">
        <v>611</v>
      </c>
      <c r="D21" s="0" t="s">
        <v>612</v>
      </c>
      <c r="E21" s="0" t="s">
        <v>613</v>
      </c>
      <c r="F21" s="0" t="s">
        <v>614</v>
      </c>
      <c r="G21" s="0" t="s">
        <v>615</v>
      </c>
      <c r="H21" s="2" t="s">
        <v>616</v>
      </c>
      <c r="I21" s="0" t="s">
        <v>609</v>
      </c>
      <c r="J21" s="0" t="s">
        <v>617</v>
      </c>
      <c r="K21" s="0" t="s">
        <v>618</v>
      </c>
      <c r="L21" s="0" t="s">
        <v>619</v>
      </c>
      <c r="M21" s="0" t="s">
        <v>620</v>
      </c>
      <c r="N21" s="0" t="s">
        <v>609</v>
      </c>
      <c r="O21" s="0" t="s">
        <v>621</v>
      </c>
      <c r="P21" s="0" t="s">
        <v>609</v>
      </c>
      <c r="Q21" s="0" t="s">
        <v>622</v>
      </c>
      <c r="R21" s="1" t="s">
        <v>623</v>
      </c>
      <c r="S21" s="0" t="s">
        <v>624</v>
      </c>
      <c r="T21" s="0" t="s">
        <v>625</v>
      </c>
      <c r="U21" s="0" t="s">
        <v>626</v>
      </c>
      <c r="V21" s="0" t="s">
        <v>627</v>
      </c>
      <c r="W21" s="2" t="s">
        <v>628</v>
      </c>
      <c r="X21" s="0" t="s">
        <v>629</v>
      </c>
      <c r="Y21" s="0" t="s">
        <v>630</v>
      </c>
      <c r="Z21" s="0" t="s">
        <v>631</v>
      </c>
      <c r="AA21" s="0" t="s">
        <v>619</v>
      </c>
      <c r="AB21" s="1" t="s">
        <v>632</v>
      </c>
      <c r="AC21" s="0" t="s">
        <v>633</v>
      </c>
      <c r="AD21" s="0" t="s">
        <v>634</v>
      </c>
      <c r="AE21" s="0" t="s">
        <v>635</v>
      </c>
      <c r="AF21" s="0" t="s">
        <v>636</v>
      </c>
      <c r="AG21" s="0" t="s">
        <v>637</v>
      </c>
      <c r="AH21" s="0" t="s">
        <v>618</v>
      </c>
      <c r="AI21" s="0" t="s">
        <v>637</v>
      </c>
      <c r="AJ21" s="0" t="s">
        <v>609</v>
      </c>
      <c r="AK21" s="0" t="s">
        <v>619</v>
      </c>
      <c r="AL21" s="1" t="s">
        <v>638</v>
      </c>
      <c r="AM21" s="0" t="s">
        <v>639</v>
      </c>
      <c r="AN21" s="0" t="s">
        <v>640</v>
      </c>
      <c r="AO21" s="0" t="s">
        <v>636</v>
      </c>
      <c r="AP21" s="1" t="s">
        <v>641</v>
      </c>
      <c r="AQ21" s="0" t="s">
        <v>642</v>
      </c>
    </row>
    <row r="22" customFormat="false" ht="15" hidden="false" customHeight="false" outlineLevel="0" collapsed="false">
      <c r="A22" s="0" t="s">
        <v>643</v>
      </c>
      <c r="B22" s="0" t="s">
        <v>644</v>
      </c>
      <c r="C22" s="1" t="s">
        <v>645</v>
      </c>
      <c r="D22" s="0" t="s">
        <v>646</v>
      </c>
      <c r="E22" s="0" t="s">
        <v>647</v>
      </c>
      <c r="F22" s="0" t="s">
        <v>648</v>
      </c>
      <c r="G22" s="0" t="s">
        <v>649</v>
      </c>
      <c r="H22" s="2" t="s">
        <v>650</v>
      </c>
      <c r="I22" s="0" t="s">
        <v>643</v>
      </c>
      <c r="J22" s="0" t="s">
        <v>651</v>
      </c>
      <c r="K22" s="0" t="s">
        <v>652</v>
      </c>
      <c r="L22" s="0" t="s">
        <v>602</v>
      </c>
      <c r="M22" s="0" t="s">
        <v>653</v>
      </c>
      <c r="N22" s="0" t="s">
        <v>643</v>
      </c>
      <c r="O22" s="0" t="s">
        <v>654</v>
      </c>
      <c r="P22" s="0" t="s">
        <v>643</v>
      </c>
      <c r="Q22" s="0" t="s">
        <v>655</v>
      </c>
      <c r="R22" s="1" t="s">
        <v>656</v>
      </c>
      <c r="S22" s="0" t="s">
        <v>657</v>
      </c>
      <c r="T22" s="0" t="s">
        <v>658</v>
      </c>
      <c r="U22" s="0" t="s">
        <v>659</v>
      </c>
      <c r="V22" s="0" t="s">
        <v>660</v>
      </c>
      <c r="W22" s="2" t="s">
        <v>661</v>
      </c>
      <c r="X22" s="0" t="s">
        <v>662</v>
      </c>
      <c r="Y22" s="0" t="s">
        <v>663</v>
      </c>
      <c r="Z22" s="0" t="s">
        <v>664</v>
      </c>
      <c r="AA22" s="0" t="s">
        <v>665</v>
      </c>
      <c r="AB22" s="1" t="s">
        <v>666</v>
      </c>
      <c r="AC22" s="0" t="s">
        <v>667</v>
      </c>
      <c r="AD22" s="0" t="s">
        <v>668</v>
      </c>
      <c r="AE22" s="0" t="s">
        <v>669</v>
      </c>
      <c r="AF22" s="0" t="s">
        <v>670</v>
      </c>
      <c r="AG22" s="0" t="s">
        <v>651</v>
      </c>
      <c r="AH22" s="0" t="s">
        <v>671</v>
      </c>
      <c r="AI22" s="0" t="s">
        <v>651</v>
      </c>
      <c r="AJ22" s="0" t="s">
        <v>643</v>
      </c>
      <c r="AK22" s="0" t="s">
        <v>602</v>
      </c>
      <c r="AL22" s="1" t="s">
        <v>672</v>
      </c>
      <c r="AM22" s="0" t="s">
        <v>673</v>
      </c>
      <c r="AN22" s="0" t="s">
        <v>674</v>
      </c>
      <c r="AO22" s="0" t="s">
        <v>670</v>
      </c>
      <c r="AP22" s="1" t="s">
        <v>675</v>
      </c>
      <c r="AQ22" s="0" t="s">
        <v>676</v>
      </c>
    </row>
    <row r="23" customFormat="false" ht="15" hidden="false" customHeight="false" outlineLevel="0" collapsed="false">
      <c r="A23" s="0" t="s">
        <v>677</v>
      </c>
      <c r="B23" s="0" t="s">
        <v>678</v>
      </c>
      <c r="C23" s="1" t="s">
        <v>679</v>
      </c>
      <c r="D23" s="0" t="s">
        <v>680</v>
      </c>
      <c r="E23" s="0" t="s">
        <v>681</v>
      </c>
      <c r="F23" s="0" t="s">
        <v>682</v>
      </c>
      <c r="G23" s="0" t="s">
        <v>683</v>
      </c>
      <c r="H23" s="2" t="s">
        <v>684</v>
      </c>
      <c r="I23" s="0" t="s">
        <v>677</v>
      </c>
      <c r="J23" s="0" t="s">
        <v>685</v>
      </c>
      <c r="K23" s="0" t="s">
        <v>686</v>
      </c>
      <c r="L23" s="0" t="s">
        <v>687</v>
      </c>
      <c r="M23" s="0" t="s">
        <v>688</v>
      </c>
      <c r="N23" s="0" t="s">
        <v>677</v>
      </c>
      <c r="O23" s="0" t="s">
        <v>689</v>
      </c>
      <c r="P23" s="0" t="s">
        <v>677</v>
      </c>
      <c r="Q23" s="0" t="s">
        <v>690</v>
      </c>
      <c r="R23" s="1" t="s">
        <v>691</v>
      </c>
      <c r="S23" s="0" t="s">
        <v>692</v>
      </c>
      <c r="T23" s="0" t="s">
        <v>693</v>
      </c>
      <c r="U23" s="0" t="s">
        <v>694</v>
      </c>
      <c r="V23" s="0" t="s">
        <v>695</v>
      </c>
      <c r="W23" s="2" t="s">
        <v>696</v>
      </c>
      <c r="X23" s="0" t="s">
        <v>697</v>
      </c>
      <c r="Y23" s="0" t="s">
        <v>682</v>
      </c>
      <c r="Z23" s="0" t="s">
        <v>698</v>
      </c>
      <c r="AA23" s="0" t="s">
        <v>687</v>
      </c>
      <c r="AB23" s="1" t="s">
        <v>699</v>
      </c>
      <c r="AC23" s="0" t="s">
        <v>700</v>
      </c>
      <c r="AD23" s="0" t="s">
        <v>701</v>
      </c>
      <c r="AE23" s="0" t="s">
        <v>702</v>
      </c>
      <c r="AF23" s="0" t="s">
        <v>703</v>
      </c>
      <c r="AG23" s="0" t="s">
        <v>685</v>
      </c>
      <c r="AH23" s="0" t="s">
        <v>704</v>
      </c>
      <c r="AI23" s="0" t="s">
        <v>685</v>
      </c>
      <c r="AJ23" s="0" t="s">
        <v>677</v>
      </c>
      <c r="AK23" s="0" t="s">
        <v>687</v>
      </c>
      <c r="AL23" s="1" t="s">
        <v>705</v>
      </c>
      <c r="AM23" s="0" t="s">
        <v>706</v>
      </c>
      <c r="AN23" s="0" t="s">
        <v>707</v>
      </c>
      <c r="AO23" s="0" t="s">
        <v>703</v>
      </c>
      <c r="AP23" s="1" t="s">
        <v>708</v>
      </c>
      <c r="AQ23" s="0" t="s">
        <v>709</v>
      </c>
    </row>
    <row r="24" customFormat="false" ht="15" hidden="false" customHeight="false" outlineLevel="0" collapsed="false">
      <c r="A24" s="0" t="s">
        <v>710</v>
      </c>
      <c r="B24" s="0" t="s">
        <v>711</v>
      </c>
      <c r="C24" s="1" t="s">
        <v>712</v>
      </c>
      <c r="D24" s="0" t="s">
        <v>713</v>
      </c>
      <c r="E24" s="0" t="s">
        <v>714</v>
      </c>
      <c r="F24" s="0" t="s">
        <v>715</v>
      </c>
      <c r="G24" s="0" t="s">
        <v>716</v>
      </c>
      <c r="H24" s="2" t="s">
        <v>717</v>
      </c>
      <c r="I24" s="0" t="s">
        <v>710</v>
      </c>
      <c r="J24" s="0" t="s">
        <v>718</v>
      </c>
      <c r="K24" s="0" t="s">
        <v>719</v>
      </c>
      <c r="L24" s="0" t="s">
        <v>720</v>
      </c>
      <c r="M24" s="0" t="s">
        <v>721</v>
      </c>
      <c r="N24" s="0" t="s">
        <v>710</v>
      </c>
      <c r="O24" s="0" t="s">
        <v>722</v>
      </c>
      <c r="P24" s="0" t="s">
        <v>710</v>
      </c>
      <c r="Q24" s="0" t="s">
        <v>723</v>
      </c>
      <c r="R24" s="1" t="s">
        <v>724</v>
      </c>
      <c r="S24" s="0" t="s">
        <v>725</v>
      </c>
      <c r="T24" s="0" t="s">
        <v>726</v>
      </c>
      <c r="U24" s="0" t="s">
        <v>727</v>
      </c>
      <c r="V24" s="0" t="s">
        <v>726</v>
      </c>
      <c r="W24" s="2" t="s">
        <v>728</v>
      </c>
      <c r="X24" s="0" t="s">
        <v>729</v>
      </c>
      <c r="Y24" s="0" t="s">
        <v>730</v>
      </c>
      <c r="Z24" s="0" t="s">
        <v>731</v>
      </c>
      <c r="AA24" s="0" t="s">
        <v>720</v>
      </c>
      <c r="AB24" s="1" t="s">
        <v>732</v>
      </c>
      <c r="AC24" s="0" t="s">
        <v>719</v>
      </c>
      <c r="AD24" s="0" t="s">
        <v>726</v>
      </c>
      <c r="AE24" s="0" t="s">
        <v>733</v>
      </c>
      <c r="AF24" s="0" t="s">
        <v>734</v>
      </c>
      <c r="AG24" s="0" t="s">
        <v>718</v>
      </c>
      <c r="AH24" s="0" t="s">
        <v>719</v>
      </c>
      <c r="AI24" s="0" t="s">
        <v>735</v>
      </c>
      <c r="AJ24" s="0" t="s">
        <v>710</v>
      </c>
      <c r="AK24" s="0" t="s">
        <v>736</v>
      </c>
      <c r="AL24" s="1" t="s">
        <v>737</v>
      </c>
      <c r="AM24" s="0" t="s">
        <v>738</v>
      </c>
      <c r="AN24" s="0" t="s">
        <v>739</v>
      </c>
      <c r="AO24" s="0" t="s">
        <v>734</v>
      </c>
      <c r="AP24" s="1" t="s">
        <v>740</v>
      </c>
      <c r="AQ24" s="0" t="s">
        <v>741</v>
      </c>
    </row>
    <row r="25" customFormat="false" ht="15" hidden="false" customHeight="false" outlineLevel="0" collapsed="false">
      <c r="A25" s="0" t="s">
        <v>742</v>
      </c>
      <c r="B25" s="0" t="s">
        <v>742</v>
      </c>
      <c r="C25" s="1" t="s">
        <v>743</v>
      </c>
      <c r="D25" s="0" t="s">
        <v>744</v>
      </c>
      <c r="E25" s="0" t="s">
        <v>745</v>
      </c>
      <c r="F25" s="0" t="s">
        <v>746</v>
      </c>
      <c r="G25" s="0" t="s">
        <v>747</v>
      </c>
      <c r="H25" s="2" t="s">
        <v>748</v>
      </c>
      <c r="I25" s="0" t="s">
        <v>742</v>
      </c>
      <c r="J25" s="0" t="s">
        <v>749</v>
      </c>
      <c r="K25" s="0" t="s">
        <v>742</v>
      </c>
      <c r="L25" s="0" t="s">
        <v>742</v>
      </c>
      <c r="M25" s="0" t="s">
        <v>742</v>
      </c>
      <c r="N25" s="0" t="s">
        <v>750</v>
      </c>
      <c r="O25" s="0" t="s">
        <v>751</v>
      </c>
      <c r="P25" s="0" t="s">
        <v>742</v>
      </c>
      <c r="Q25" s="0" t="s">
        <v>752</v>
      </c>
      <c r="R25" s="1" t="s">
        <v>753</v>
      </c>
      <c r="S25" s="0" t="s">
        <v>742</v>
      </c>
      <c r="T25" s="0" t="s">
        <v>742</v>
      </c>
      <c r="U25" s="0" t="s">
        <v>742</v>
      </c>
      <c r="V25" s="0" t="s">
        <v>747</v>
      </c>
      <c r="W25" s="0" t="s">
        <v>754</v>
      </c>
      <c r="X25" s="0" t="s">
        <v>755</v>
      </c>
      <c r="Y25" s="0" t="s">
        <v>756</v>
      </c>
      <c r="Z25" s="0" t="s">
        <v>742</v>
      </c>
      <c r="AA25" s="0" t="s">
        <v>742</v>
      </c>
      <c r="AB25" s="1" t="s">
        <v>757</v>
      </c>
      <c r="AC25" s="0" t="s">
        <v>758</v>
      </c>
      <c r="AD25" s="0" t="s">
        <v>742</v>
      </c>
      <c r="AE25" s="0" t="s">
        <v>759</v>
      </c>
      <c r="AF25" s="0" t="s">
        <v>760</v>
      </c>
      <c r="AG25" s="0" t="s">
        <v>742</v>
      </c>
      <c r="AH25" s="0" t="s">
        <v>742</v>
      </c>
      <c r="AI25" s="0" t="s">
        <v>742</v>
      </c>
      <c r="AJ25" s="0" t="s">
        <v>761</v>
      </c>
      <c r="AK25" s="0" t="s">
        <v>762</v>
      </c>
      <c r="AL25" s="1" t="s">
        <v>763</v>
      </c>
      <c r="AM25" s="0" t="s">
        <v>764</v>
      </c>
      <c r="AN25" s="0" t="s">
        <v>765</v>
      </c>
      <c r="AO25" s="0" t="s">
        <v>766</v>
      </c>
      <c r="AP25" s="1" t="s">
        <v>767</v>
      </c>
      <c r="AQ25" s="0" t="s">
        <v>760</v>
      </c>
    </row>
    <row r="26" customFormat="false" ht="15" hidden="false" customHeight="false" outlineLevel="0" collapsed="false">
      <c r="A26" s="0" t="s">
        <v>768</v>
      </c>
      <c r="B26" s="0" t="s">
        <v>769</v>
      </c>
      <c r="C26" s="1" t="s">
        <v>770</v>
      </c>
      <c r="D26" s="0" t="s">
        <v>771</v>
      </c>
      <c r="E26" s="0" t="s">
        <v>772</v>
      </c>
      <c r="F26" s="0" t="s">
        <v>773</v>
      </c>
      <c r="G26" s="0" t="s">
        <v>768</v>
      </c>
      <c r="H26" s="2" t="s">
        <v>774</v>
      </c>
      <c r="I26" s="0" t="s">
        <v>768</v>
      </c>
      <c r="J26" s="0" t="s">
        <v>775</v>
      </c>
      <c r="K26" s="0" t="s">
        <v>768</v>
      </c>
      <c r="L26" s="0" t="s">
        <v>768</v>
      </c>
      <c r="M26" s="0" t="s">
        <v>768</v>
      </c>
      <c r="N26" s="0" t="s">
        <v>776</v>
      </c>
      <c r="O26" s="0" t="s">
        <v>777</v>
      </c>
      <c r="P26" s="0" t="s">
        <v>768</v>
      </c>
      <c r="Q26" s="0" t="s">
        <v>778</v>
      </c>
      <c r="R26" s="1" t="s">
        <v>779</v>
      </c>
      <c r="S26" s="0" t="s">
        <v>768</v>
      </c>
      <c r="T26" s="0" t="s">
        <v>780</v>
      </c>
      <c r="U26" s="0" t="s">
        <v>768</v>
      </c>
      <c r="V26" s="0" t="s">
        <v>768</v>
      </c>
      <c r="W26" s="0" t="s">
        <v>781</v>
      </c>
      <c r="X26" s="0" t="s">
        <v>526</v>
      </c>
      <c r="Y26" s="0" t="s">
        <v>782</v>
      </c>
      <c r="Z26" s="0" t="s">
        <v>783</v>
      </c>
      <c r="AA26" s="0" t="s">
        <v>768</v>
      </c>
      <c r="AB26" s="1" t="s">
        <v>784</v>
      </c>
      <c r="AC26" s="0" t="s">
        <v>785</v>
      </c>
      <c r="AD26" s="0" t="s">
        <v>772</v>
      </c>
      <c r="AE26" s="0" t="s">
        <v>768</v>
      </c>
      <c r="AF26" s="0" t="s">
        <v>782</v>
      </c>
      <c r="AG26" s="0" t="s">
        <v>768</v>
      </c>
      <c r="AH26" s="0" t="s">
        <v>768</v>
      </c>
      <c r="AI26" s="0" t="s">
        <v>768</v>
      </c>
      <c r="AJ26" s="0" t="s">
        <v>768</v>
      </c>
      <c r="AK26" s="0" t="s">
        <v>768</v>
      </c>
      <c r="AL26" s="1" t="s">
        <v>786</v>
      </c>
      <c r="AM26" s="0" t="s">
        <v>787</v>
      </c>
      <c r="AN26" s="0" t="s">
        <v>788</v>
      </c>
      <c r="AO26" s="0" t="s">
        <v>789</v>
      </c>
      <c r="AP26" s="1" t="s">
        <v>790</v>
      </c>
      <c r="AQ26" s="0" t="s">
        <v>782</v>
      </c>
    </row>
    <row r="27" customFormat="false" ht="15" hidden="false" customHeight="false" outlineLevel="0" collapsed="false">
      <c r="A27" s="0" t="s">
        <v>576</v>
      </c>
      <c r="B27" s="0" t="s">
        <v>576</v>
      </c>
      <c r="C27" s="1" t="s">
        <v>791</v>
      </c>
      <c r="D27" s="0" t="s">
        <v>792</v>
      </c>
      <c r="E27" s="0" t="s">
        <v>576</v>
      </c>
      <c r="F27" s="0" t="s">
        <v>793</v>
      </c>
      <c r="G27" s="0" t="s">
        <v>576</v>
      </c>
      <c r="H27" s="2" t="s">
        <v>794</v>
      </c>
      <c r="I27" s="0" t="s">
        <v>576</v>
      </c>
      <c r="J27" s="0" t="s">
        <v>795</v>
      </c>
      <c r="K27" s="0" t="s">
        <v>576</v>
      </c>
      <c r="L27" s="0" t="s">
        <v>576</v>
      </c>
      <c r="M27" s="0" t="s">
        <v>796</v>
      </c>
      <c r="N27" s="0" t="s">
        <v>797</v>
      </c>
      <c r="O27" s="0" t="s">
        <v>798</v>
      </c>
      <c r="P27" s="0" t="s">
        <v>799</v>
      </c>
      <c r="Q27" s="0" t="s">
        <v>800</v>
      </c>
      <c r="R27" s="1" t="s">
        <v>801</v>
      </c>
      <c r="S27" s="0" t="s">
        <v>802</v>
      </c>
      <c r="T27" s="0" t="s">
        <v>576</v>
      </c>
      <c r="U27" s="0" t="s">
        <v>576</v>
      </c>
      <c r="V27" s="0" t="s">
        <v>576</v>
      </c>
      <c r="W27" s="0" t="s">
        <v>803</v>
      </c>
      <c r="X27" s="0" t="s">
        <v>804</v>
      </c>
      <c r="Y27" s="0" t="s">
        <v>805</v>
      </c>
      <c r="Z27" s="0" t="s">
        <v>576</v>
      </c>
      <c r="AA27" s="0" t="s">
        <v>576</v>
      </c>
      <c r="AB27" s="1" t="s">
        <v>806</v>
      </c>
      <c r="AC27" s="0" t="s">
        <v>576</v>
      </c>
      <c r="AD27" s="0" t="s">
        <v>576</v>
      </c>
      <c r="AE27" s="0" t="s">
        <v>576</v>
      </c>
      <c r="AF27" s="0" t="s">
        <v>805</v>
      </c>
      <c r="AG27" s="0" t="s">
        <v>576</v>
      </c>
      <c r="AH27" s="0" t="s">
        <v>576</v>
      </c>
      <c r="AI27" s="0" t="s">
        <v>576</v>
      </c>
      <c r="AJ27" s="0" t="s">
        <v>576</v>
      </c>
      <c r="AK27" s="0" t="s">
        <v>807</v>
      </c>
      <c r="AL27" s="1" t="s">
        <v>808</v>
      </c>
      <c r="AM27" s="0" t="s">
        <v>576</v>
      </c>
      <c r="AN27" s="0" t="s">
        <v>809</v>
      </c>
      <c r="AO27" s="0" t="s">
        <v>810</v>
      </c>
      <c r="AP27" s="1" t="s">
        <v>811</v>
      </c>
      <c r="AQ27" s="0" t="s">
        <v>805</v>
      </c>
    </row>
    <row r="28" customFormat="false" ht="15" hidden="false" customHeight="false" outlineLevel="0" collapsed="false">
      <c r="A28" s="0" t="s">
        <v>812</v>
      </c>
      <c r="B28" s="0" t="s">
        <v>813</v>
      </c>
      <c r="C28" s="1" t="s">
        <v>814</v>
      </c>
      <c r="D28" s="0" t="s">
        <v>815</v>
      </c>
      <c r="E28" s="0" t="s">
        <v>812</v>
      </c>
      <c r="F28" s="0" t="s">
        <v>816</v>
      </c>
      <c r="G28" s="0" t="s">
        <v>817</v>
      </c>
      <c r="H28" s="2" t="s">
        <v>818</v>
      </c>
      <c r="I28" s="0" t="s">
        <v>812</v>
      </c>
      <c r="J28" s="0" t="s">
        <v>819</v>
      </c>
      <c r="K28" s="0" t="s">
        <v>812</v>
      </c>
      <c r="L28" s="0" t="s">
        <v>812</v>
      </c>
      <c r="M28" s="0" t="s">
        <v>812</v>
      </c>
      <c r="N28" s="0" t="s">
        <v>820</v>
      </c>
      <c r="O28" s="0" t="s">
        <v>821</v>
      </c>
      <c r="P28" s="0" t="s">
        <v>812</v>
      </c>
      <c r="Q28" s="0" t="s">
        <v>822</v>
      </c>
      <c r="R28" s="1" t="s">
        <v>823</v>
      </c>
      <c r="S28" s="0" t="s">
        <v>824</v>
      </c>
      <c r="T28" s="0" t="s">
        <v>812</v>
      </c>
      <c r="U28" s="0" t="s">
        <v>812</v>
      </c>
      <c r="V28" s="0" t="s">
        <v>812</v>
      </c>
      <c r="W28" s="0" t="s">
        <v>825</v>
      </c>
      <c r="X28" s="0" t="s">
        <v>826</v>
      </c>
      <c r="Y28" s="0" t="s">
        <v>827</v>
      </c>
      <c r="Z28" s="0" t="s">
        <v>812</v>
      </c>
      <c r="AA28" s="0" t="s">
        <v>812</v>
      </c>
      <c r="AB28" s="1" t="s">
        <v>828</v>
      </c>
      <c r="AC28" s="0" t="s">
        <v>829</v>
      </c>
      <c r="AD28" s="0" t="s">
        <v>817</v>
      </c>
      <c r="AE28" s="0" t="s">
        <v>812</v>
      </c>
      <c r="AF28" s="0" t="s">
        <v>827</v>
      </c>
      <c r="AG28" s="0" t="s">
        <v>812</v>
      </c>
      <c r="AH28" s="0" t="s">
        <v>812</v>
      </c>
      <c r="AI28" s="0" t="s">
        <v>812</v>
      </c>
      <c r="AJ28" s="0" t="s">
        <v>817</v>
      </c>
      <c r="AK28" s="0" t="s">
        <v>830</v>
      </c>
      <c r="AL28" s="1" t="s">
        <v>831</v>
      </c>
      <c r="AM28" s="0" t="s">
        <v>832</v>
      </c>
      <c r="AN28" s="0" t="s">
        <v>833</v>
      </c>
      <c r="AO28" s="0" t="s">
        <v>834</v>
      </c>
      <c r="AP28" s="1" t="s">
        <v>835</v>
      </c>
      <c r="AQ28" s="0" t="s">
        <v>827</v>
      </c>
    </row>
    <row r="29" customFormat="false" ht="15" hidden="false" customHeight="false" outlineLevel="0" collapsed="false">
      <c r="A29" s="0" t="s">
        <v>836</v>
      </c>
      <c r="B29" s="0" t="s">
        <v>837</v>
      </c>
      <c r="C29" s="1" t="s">
        <v>838</v>
      </c>
      <c r="D29" s="0" t="s">
        <v>839</v>
      </c>
      <c r="E29" s="0" t="s">
        <v>836</v>
      </c>
      <c r="F29" s="0" t="s">
        <v>840</v>
      </c>
      <c r="G29" s="0" t="s">
        <v>841</v>
      </c>
      <c r="H29" s="2" t="s">
        <v>842</v>
      </c>
      <c r="I29" s="0" t="s">
        <v>836</v>
      </c>
      <c r="J29" s="0" t="s">
        <v>843</v>
      </c>
      <c r="K29" s="0" t="s">
        <v>836</v>
      </c>
      <c r="L29" s="0" t="s">
        <v>837</v>
      </c>
      <c r="M29" s="0" t="s">
        <v>844</v>
      </c>
      <c r="N29" s="0" t="s">
        <v>841</v>
      </c>
      <c r="O29" s="0" t="s">
        <v>845</v>
      </c>
      <c r="P29" s="0" t="s">
        <v>841</v>
      </c>
      <c r="Q29" s="0" t="s">
        <v>846</v>
      </c>
      <c r="R29" s="1" t="s">
        <v>847</v>
      </c>
      <c r="S29" s="0" t="s">
        <v>848</v>
      </c>
      <c r="T29" s="0" t="s">
        <v>844</v>
      </c>
      <c r="U29" s="0" t="s">
        <v>849</v>
      </c>
      <c r="V29" s="0" t="s">
        <v>850</v>
      </c>
      <c r="W29" s="0" t="s">
        <v>851</v>
      </c>
      <c r="X29" s="0" t="s">
        <v>852</v>
      </c>
      <c r="Y29" s="0" t="s">
        <v>853</v>
      </c>
      <c r="Z29" s="0" t="s">
        <v>854</v>
      </c>
      <c r="AA29" s="0" t="s">
        <v>841</v>
      </c>
      <c r="AB29" s="1" t="s">
        <v>855</v>
      </c>
      <c r="AC29" s="0" t="s">
        <v>837</v>
      </c>
      <c r="AD29" s="0" t="s">
        <v>841</v>
      </c>
      <c r="AE29" s="0" t="s">
        <v>841</v>
      </c>
      <c r="AF29" s="0" t="s">
        <v>840</v>
      </c>
      <c r="AG29" s="0" t="s">
        <v>837</v>
      </c>
      <c r="AH29" s="0" t="s">
        <v>848</v>
      </c>
      <c r="AI29" s="0" t="s">
        <v>837</v>
      </c>
      <c r="AJ29" s="0" t="s">
        <v>836</v>
      </c>
      <c r="AK29" s="0" t="s">
        <v>856</v>
      </c>
      <c r="AL29" s="1" t="s">
        <v>857</v>
      </c>
      <c r="AM29" s="0" t="s">
        <v>836</v>
      </c>
      <c r="AN29" s="0" t="s">
        <v>858</v>
      </c>
      <c r="AO29" s="0" t="s">
        <v>859</v>
      </c>
      <c r="AP29" s="1" t="s">
        <v>860</v>
      </c>
      <c r="AQ29" s="0" t="s">
        <v>840</v>
      </c>
    </row>
    <row r="30" customFormat="false" ht="15" hidden="false" customHeight="false" outlineLevel="0" collapsed="false">
      <c r="A30" s="0" t="s">
        <v>861</v>
      </c>
      <c r="B30" s="0" t="s">
        <v>862</v>
      </c>
      <c r="C30" s="1" t="s">
        <v>863</v>
      </c>
      <c r="D30" s="0" t="s">
        <v>864</v>
      </c>
      <c r="E30" s="0" t="s">
        <v>865</v>
      </c>
      <c r="F30" s="0" t="s">
        <v>866</v>
      </c>
      <c r="G30" s="0" t="s">
        <v>861</v>
      </c>
      <c r="H30" s="2" t="s">
        <v>867</v>
      </c>
      <c r="I30" s="0" t="s">
        <v>861</v>
      </c>
      <c r="J30" s="0" t="s">
        <v>868</v>
      </c>
      <c r="K30" s="0" t="s">
        <v>869</v>
      </c>
      <c r="L30" s="0" t="s">
        <v>861</v>
      </c>
      <c r="M30" s="0" t="s">
        <v>861</v>
      </c>
      <c r="N30" s="0" t="s">
        <v>870</v>
      </c>
      <c r="O30" s="0" t="s">
        <v>871</v>
      </c>
      <c r="P30" s="0" t="s">
        <v>861</v>
      </c>
      <c r="Q30" s="0" t="s">
        <v>872</v>
      </c>
      <c r="R30" s="1" t="s">
        <v>873</v>
      </c>
      <c r="S30" s="0" t="s">
        <v>874</v>
      </c>
      <c r="T30" s="0" t="s">
        <v>861</v>
      </c>
      <c r="U30" s="0" t="s">
        <v>874</v>
      </c>
      <c r="V30" s="0" t="s">
        <v>875</v>
      </c>
      <c r="W30" s="0" t="s">
        <v>876</v>
      </c>
      <c r="X30" s="0" t="s">
        <v>877</v>
      </c>
      <c r="Y30" s="0" t="s">
        <v>878</v>
      </c>
      <c r="Z30" s="0" t="s">
        <v>879</v>
      </c>
      <c r="AA30" s="0" t="s">
        <v>861</v>
      </c>
      <c r="AB30" s="1" t="s">
        <v>880</v>
      </c>
      <c r="AC30" s="0" t="s">
        <v>881</v>
      </c>
      <c r="AD30" s="0" t="s">
        <v>861</v>
      </c>
      <c r="AE30" s="0" t="s">
        <v>882</v>
      </c>
      <c r="AF30" s="0" t="s">
        <v>883</v>
      </c>
      <c r="AG30" s="0" t="s">
        <v>861</v>
      </c>
      <c r="AH30" s="0" t="s">
        <v>874</v>
      </c>
      <c r="AI30" s="0" t="s">
        <v>861</v>
      </c>
      <c r="AJ30" s="0" t="s">
        <v>861</v>
      </c>
      <c r="AK30" s="0" t="s">
        <v>884</v>
      </c>
      <c r="AL30" s="1" t="s">
        <v>885</v>
      </c>
      <c r="AM30" s="0" t="s">
        <v>886</v>
      </c>
      <c r="AN30" s="0" t="s">
        <v>887</v>
      </c>
      <c r="AO30" s="0" t="s">
        <v>888</v>
      </c>
      <c r="AP30" s="1" t="s">
        <v>889</v>
      </c>
      <c r="AQ30" s="0" t="s">
        <v>883</v>
      </c>
    </row>
    <row r="31" customFormat="false" ht="15" hidden="false" customHeight="false" outlineLevel="0" collapsed="false">
      <c r="A31" s="0" t="s">
        <v>890</v>
      </c>
      <c r="B31" s="0" t="s">
        <v>891</v>
      </c>
      <c r="C31" s="1" t="s">
        <v>892</v>
      </c>
      <c r="D31" s="0" t="s">
        <v>893</v>
      </c>
      <c r="E31" s="0" t="s">
        <v>894</v>
      </c>
      <c r="F31" s="0" t="s">
        <v>895</v>
      </c>
      <c r="G31" s="0" t="s">
        <v>890</v>
      </c>
      <c r="H31" s="2" t="s">
        <v>896</v>
      </c>
      <c r="I31" s="0" t="s">
        <v>890</v>
      </c>
      <c r="J31" s="0" t="s">
        <v>897</v>
      </c>
      <c r="K31" s="0" t="s">
        <v>898</v>
      </c>
      <c r="L31" s="0" t="s">
        <v>890</v>
      </c>
      <c r="M31" s="0" t="s">
        <v>890</v>
      </c>
      <c r="N31" s="0" t="s">
        <v>899</v>
      </c>
      <c r="O31" s="0" t="s">
        <v>900</v>
      </c>
      <c r="P31" s="0" t="s">
        <v>890</v>
      </c>
      <c r="Q31" s="0" t="s">
        <v>901</v>
      </c>
      <c r="R31" s="1" t="s">
        <v>902</v>
      </c>
      <c r="S31" s="0" t="s">
        <v>903</v>
      </c>
      <c r="T31" s="0" t="s">
        <v>890</v>
      </c>
      <c r="U31" s="0" t="s">
        <v>903</v>
      </c>
      <c r="V31" s="0" t="s">
        <v>904</v>
      </c>
      <c r="W31" s="0" t="s">
        <v>905</v>
      </c>
      <c r="X31" s="0" t="s">
        <v>906</v>
      </c>
      <c r="Y31" s="0" t="s">
        <v>907</v>
      </c>
      <c r="Z31" s="0" t="s">
        <v>908</v>
      </c>
      <c r="AA31" s="0" t="s">
        <v>890</v>
      </c>
      <c r="AB31" s="1" t="s">
        <v>909</v>
      </c>
      <c r="AC31" s="0" t="s">
        <v>868</v>
      </c>
      <c r="AD31" s="0" t="s">
        <v>890</v>
      </c>
      <c r="AE31" s="0" t="s">
        <v>910</v>
      </c>
      <c r="AF31" s="0" t="s">
        <v>911</v>
      </c>
      <c r="AG31" s="0" t="s">
        <v>890</v>
      </c>
      <c r="AH31" s="0" t="s">
        <v>903</v>
      </c>
      <c r="AI31" s="0" t="s">
        <v>890</v>
      </c>
      <c r="AJ31" s="0" t="s">
        <v>890</v>
      </c>
      <c r="AK31" s="0" t="s">
        <v>912</v>
      </c>
      <c r="AL31" s="1" t="s">
        <v>913</v>
      </c>
      <c r="AM31" s="0" t="s">
        <v>914</v>
      </c>
      <c r="AN31" s="0" t="s">
        <v>915</v>
      </c>
      <c r="AO31" s="0" t="s">
        <v>916</v>
      </c>
      <c r="AP31" s="1" t="s">
        <v>917</v>
      </c>
      <c r="AQ31" s="0" t="s">
        <v>911</v>
      </c>
    </row>
    <row r="32" customFormat="false" ht="15" hidden="false" customHeight="false" outlineLevel="0" collapsed="false">
      <c r="A32" s="0" t="s">
        <v>918</v>
      </c>
      <c r="B32" s="0" t="s">
        <v>919</v>
      </c>
      <c r="C32" s="1" t="s">
        <v>920</v>
      </c>
      <c r="D32" s="0" t="s">
        <v>921</v>
      </c>
      <c r="E32" s="0" t="s">
        <v>922</v>
      </c>
      <c r="F32" s="0" t="s">
        <v>923</v>
      </c>
      <c r="G32" s="0" t="s">
        <v>924</v>
      </c>
      <c r="H32" s="2" t="s">
        <v>925</v>
      </c>
      <c r="I32" s="0" t="s">
        <v>918</v>
      </c>
      <c r="J32" s="0" t="s">
        <v>926</v>
      </c>
      <c r="K32" s="0" t="s">
        <v>918</v>
      </c>
      <c r="L32" s="0" t="s">
        <v>918</v>
      </c>
      <c r="M32" s="0" t="s">
        <v>918</v>
      </c>
      <c r="N32" s="0" t="s">
        <v>927</v>
      </c>
      <c r="O32" s="0" t="s">
        <v>928</v>
      </c>
      <c r="P32" s="0" t="s">
        <v>918</v>
      </c>
      <c r="Q32" s="0" t="s">
        <v>929</v>
      </c>
      <c r="R32" s="1" t="s">
        <v>930</v>
      </c>
      <c r="S32" s="0" t="s">
        <v>918</v>
      </c>
      <c r="T32" s="0" t="s">
        <v>931</v>
      </c>
      <c r="U32" s="0" t="s">
        <v>932</v>
      </c>
      <c r="V32" s="0" t="s">
        <v>924</v>
      </c>
      <c r="W32" s="0" t="s">
        <v>933</v>
      </c>
      <c r="X32" s="0" t="s">
        <v>934</v>
      </c>
      <c r="Y32" s="0" t="s">
        <v>935</v>
      </c>
      <c r="Z32" s="0" t="s">
        <v>936</v>
      </c>
      <c r="AA32" s="0" t="s">
        <v>918</v>
      </c>
      <c r="AB32" s="1" t="s">
        <v>937</v>
      </c>
      <c r="AC32" s="0" t="s">
        <v>938</v>
      </c>
      <c r="AD32" s="0" t="s">
        <v>924</v>
      </c>
      <c r="AE32" s="0" t="s">
        <v>918</v>
      </c>
      <c r="AF32" s="0" t="s">
        <v>935</v>
      </c>
      <c r="AG32" s="0" t="s">
        <v>939</v>
      </c>
      <c r="AH32" s="0" t="s">
        <v>918</v>
      </c>
      <c r="AI32" s="0" t="s">
        <v>939</v>
      </c>
      <c r="AJ32" s="0" t="s">
        <v>924</v>
      </c>
      <c r="AK32" s="0" t="s">
        <v>918</v>
      </c>
      <c r="AL32" s="1" t="s">
        <v>940</v>
      </c>
      <c r="AM32" s="0" t="s">
        <v>941</v>
      </c>
      <c r="AN32" s="0" t="s">
        <v>942</v>
      </c>
      <c r="AO32" s="0" t="s">
        <v>943</v>
      </c>
      <c r="AP32" s="1" t="s">
        <v>944</v>
      </c>
      <c r="AQ32" s="0" t="s">
        <v>935</v>
      </c>
    </row>
    <row r="33" customFormat="false" ht="15" hidden="false" customHeight="false" outlineLevel="0" collapsed="false">
      <c r="A33" s="0" t="s">
        <v>945</v>
      </c>
      <c r="B33" s="0" t="s">
        <v>946</v>
      </c>
      <c r="C33" s="1" t="s">
        <v>947</v>
      </c>
      <c r="D33" s="0" t="s">
        <v>948</v>
      </c>
      <c r="E33" s="0" t="s">
        <v>559</v>
      </c>
      <c r="F33" s="0" t="s">
        <v>949</v>
      </c>
      <c r="G33" s="0" t="s">
        <v>950</v>
      </c>
      <c r="H33" s="2" t="s">
        <v>951</v>
      </c>
      <c r="I33" s="0" t="s">
        <v>945</v>
      </c>
      <c r="J33" s="0" t="s">
        <v>952</v>
      </c>
      <c r="K33" s="0" t="s">
        <v>945</v>
      </c>
      <c r="L33" s="0" t="s">
        <v>945</v>
      </c>
      <c r="M33" s="0" t="s">
        <v>945</v>
      </c>
      <c r="N33" s="0" t="s">
        <v>953</v>
      </c>
      <c r="O33" s="0" t="s">
        <v>954</v>
      </c>
      <c r="P33" s="0" t="s">
        <v>945</v>
      </c>
      <c r="Q33" s="0" t="s">
        <v>955</v>
      </c>
      <c r="R33" s="1" t="s">
        <v>956</v>
      </c>
      <c r="S33" s="0" t="s">
        <v>957</v>
      </c>
      <c r="T33" s="0" t="s">
        <v>945</v>
      </c>
      <c r="U33" s="0" t="s">
        <v>945</v>
      </c>
      <c r="V33" s="0" t="s">
        <v>950</v>
      </c>
      <c r="W33" s="0" t="s">
        <v>958</v>
      </c>
      <c r="X33" s="0" t="s">
        <v>959</v>
      </c>
      <c r="Y33" s="0" t="s">
        <v>960</v>
      </c>
      <c r="Z33" s="0" t="s">
        <v>950</v>
      </c>
      <c r="AA33" s="0" t="s">
        <v>945</v>
      </c>
      <c r="AB33" s="1" t="s">
        <v>961</v>
      </c>
      <c r="AC33" s="0" t="s">
        <v>962</v>
      </c>
      <c r="AD33" s="0" t="s">
        <v>950</v>
      </c>
      <c r="AE33" s="0" t="s">
        <v>945</v>
      </c>
      <c r="AF33" s="0" t="s">
        <v>963</v>
      </c>
      <c r="AG33" s="0" t="s">
        <v>945</v>
      </c>
      <c r="AH33" s="0" t="s">
        <v>945</v>
      </c>
      <c r="AI33" s="0" t="s">
        <v>945</v>
      </c>
      <c r="AJ33" s="0" t="s">
        <v>945</v>
      </c>
      <c r="AK33" s="0" t="s">
        <v>964</v>
      </c>
      <c r="AL33" s="1" t="s">
        <v>965</v>
      </c>
      <c r="AM33" s="0" t="s">
        <v>966</v>
      </c>
      <c r="AN33" s="0" t="s">
        <v>967</v>
      </c>
      <c r="AO33" s="0" t="s">
        <v>968</v>
      </c>
      <c r="AP33" s="1" t="s">
        <v>969</v>
      </c>
      <c r="AQ33" s="0" t="s">
        <v>963</v>
      </c>
    </row>
    <row r="34" customFormat="false" ht="15" hidden="false" customHeight="false" outlineLevel="0" collapsed="false">
      <c r="A34" s="0" t="s">
        <v>970</v>
      </c>
      <c r="B34" s="0" t="s">
        <v>971</v>
      </c>
      <c r="C34" s="1" t="s">
        <v>972</v>
      </c>
      <c r="D34" s="0" t="s">
        <v>973</v>
      </c>
      <c r="E34" s="0" t="s">
        <v>974</v>
      </c>
      <c r="F34" s="0" t="s">
        <v>975</v>
      </c>
      <c r="G34" s="0" t="s">
        <v>970</v>
      </c>
      <c r="H34" s="2" t="s">
        <v>976</v>
      </c>
      <c r="I34" s="0" t="s">
        <v>970</v>
      </c>
      <c r="J34" s="0" t="s">
        <v>977</v>
      </c>
      <c r="K34" s="0" t="s">
        <v>970</v>
      </c>
      <c r="L34" s="0" t="s">
        <v>974</v>
      </c>
      <c r="M34" s="0" t="s">
        <v>974</v>
      </c>
      <c r="N34" s="0" t="s">
        <v>970</v>
      </c>
      <c r="O34" s="0" t="s">
        <v>978</v>
      </c>
      <c r="P34" s="0" t="s">
        <v>974</v>
      </c>
      <c r="Q34" s="0" t="s">
        <v>979</v>
      </c>
      <c r="R34" s="1" t="s">
        <v>980</v>
      </c>
      <c r="S34" s="0" t="s">
        <v>974</v>
      </c>
      <c r="T34" s="0" t="s">
        <v>974</v>
      </c>
      <c r="U34" s="0" t="s">
        <v>974</v>
      </c>
      <c r="V34" s="0" t="s">
        <v>981</v>
      </c>
      <c r="W34" s="0" t="s">
        <v>982</v>
      </c>
      <c r="X34" s="0" t="s">
        <v>983</v>
      </c>
      <c r="Y34" s="0" t="s">
        <v>984</v>
      </c>
      <c r="Z34" s="0" t="s">
        <v>981</v>
      </c>
      <c r="AA34" s="0" t="s">
        <v>974</v>
      </c>
      <c r="AB34" s="1" t="s">
        <v>985</v>
      </c>
      <c r="AC34" s="0" t="s">
        <v>986</v>
      </c>
      <c r="AD34" s="0" t="s">
        <v>987</v>
      </c>
      <c r="AE34" s="0" t="s">
        <v>970</v>
      </c>
      <c r="AF34" s="0" t="s">
        <v>984</v>
      </c>
      <c r="AG34" s="0" t="s">
        <v>974</v>
      </c>
      <c r="AH34" s="0" t="s">
        <v>974</v>
      </c>
      <c r="AI34" s="0" t="s">
        <v>970</v>
      </c>
      <c r="AJ34" s="0" t="s">
        <v>970</v>
      </c>
      <c r="AK34" s="0" t="s">
        <v>988</v>
      </c>
      <c r="AL34" s="1" t="s">
        <v>989</v>
      </c>
      <c r="AM34" s="0" t="s">
        <v>990</v>
      </c>
      <c r="AN34" s="0" t="s">
        <v>991</v>
      </c>
      <c r="AO34" s="0" t="s">
        <v>992</v>
      </c>
      <c r="AP34" s="1" t="s">
        <v>993</v>
      </c>
      <c r="AQ34" s="0" t="s">
        <v>984</v>
      </c>
    </row>
    <row r="35" customFormat="false" ht="15" hidden="false" customHeight="false" outlineLevel="0" collapsed="false">
      <c r="A35" s="0" t="s">
        <v>994</v>
      </c>
      <c r="B35" s="0" t="s">
        <v>995</v>
      </c>
      <c r="C35" s="1" t="s">
        <v>996</v>
      </c>
      <c r="D35" s="0" t="s">
        <v>997</v>
      </c>
      <c r="E35" s="0" t="s">
        <v>998</v>
      </c>
      <c r="F35" s="0" t="s">
        <v>999</v>
      </c>
      <c r="G35" s="0" t="s">
        <v>994</v>
      </c>
      <c r="H35" s="2" t="s">
        <v>1000</v>
      </c>
      <c r="I35" s="0" t="s">
        <v>994</v>
      </c>
      <c r="J35" s="0" t="s">
        <v>1001</v>
      </c>
      <c r="K35" s="0" t="s">
        <v>994</v>
      </c>
      <c r="L35" s="0" t="s">
        <v>994</v>
      </c>
      <c r="M35" s="0" t="s">
        <v>994</v>
      </c>
      <c r="N35" s="0" t="s">
        <v>994</v>
      </c>
      <c r="O35" s="0" t="s">
        <v>1002</v>
      </c>
      <c r="P35" s="0" t="s">
        <v>994</v>
      </c>
      <c r="Q35" s="0" t="s">
        <v>1003</v>
      </c>
      <c r="R35" s="1" t="s">
        <v>1004</v>
      </c>
      <c r="S35" s="0" t="s">
        <v>994</v>
      </c>
      <c r="T35" s="0" t="s">
        <v>1005</v>
      </c>
      <c r="U35" s="0" t="s">
        <v>1006</v>
      </c>
      <c r="V35" s="0" t="s">
        <v>994</v>
      </c>
      <c r="W35" s="0" t="s">
        <v>1007</v>
      </c>
      <c r="X35" s="0" t="s">
        <v>1008</v>
      </c>
      <c r="Y35" s="0" t="s">
        <v>1009</v>
      </c>
      <c r="Z35" s="0" t="s">
        <v>994</v>
      </c>
      <c r="AA35" s="0" t="s">
        <v>994</v>
      </c>
      <c r="AB35" s="1" t="s">
        <v>1010</v>
      </c>
      <c r="AC35" s="0" t="s">
        <v>977</v>
      </c>
      <c r="AD35" s="0" t="s">
        <v>994</v>
      </c>
      <c r="AE35" s="0" t="s">
        <v>1011</v>
      </c>
      <c r="AF35" s="0" t="s">
        <v>1012</v>
      </c>
      <c r="AG35" s="0" t="s">
        <v>994</v>
      </c>
      <c r="AH35" s="0" t="s">
        <v>994</v>
      </c>
      <c r="AI35" s="0" t="s">
        <v>994</v>
      </c>
      <c r="AJ35" s="0" t="s">
        <v>994</v>
      </c>
      <c r="AK35" s="0" t="s">
        <v>1013</v>
      </c>
      <c r="AL35" s="1" t="s">
        <v>1014</v>
      </c>
      <c r="AM35" s="0" t="s">
        <v>1015</v>
      </c>
      <c r="AN35" s="0" t="s">
        <v>1016</v>
      </c>
      <c r="AO35" s="0" t="s">
        <v>1017</v>
      </c>
      <c r="AP35" s="1" t="s">
        <v>1018</v>
      </c>
      <c r="AQ35" s="0" t="s">
        <v>1012</v>
      </c>
    </row>
    <row r="36" customFormat="false" ht="15" hidden="false" customHeight="false" outlineLevel="0" collapsed="false">
      <c r="A36" s="0" t="s">
        <v>1019</v>
      </c>
      <c r="B36" s="0" t="s">
        <v>1020</v>
      </c>
      <c r="C36" s="1" t="s">
        <v>1021</v>
      </c>
      <c r="D36" s="0" t="s">
        <v>1022</v>
      </c>
      <c r="E36" s="0" t="s">
        <v>1023</v>
      </c>
      <c r="F36" s="0" t="s">
        <v>1024</v>
      </c>
      <c r="G36" s="0" t="s">
        <v>1025</v>
      </c>
      <c r="H36" s="2" t="s">
        <v>1026</v>
      </c>
      <c r="I36" s="0" t="s">
        <v>1019</v>
      </c>
      <c r="J36" s="0" t="s">
        <v>1027</v>
      </c>
      <c r="K36" s="0" t="s">
        <v>1019</v>
      </c>
      <c r="L36" s="0" t="s">
        <v>1019</v>
      </c>
      <c r="M36" s="0" t="s">
        <v>1019</v>
      </c>
      <c r="N36" s="0" t="s">
        <v>1028</v>
      </c>
      <c r="O36" s="0" t="s">
        <v>1029</v>
      </c>
      <c r="P36" s="0" t="s">
        <v>1030</v>
      </c>
      <c r="Q36" s="0" t="s">
        <v>1031</v>
      </c>
      <c r="R36" s="1" t="s">
        <v>1032</v>
      </c>
      <c r="S36" s="0" t="s">
        <v>1019</v>
      </c>
      <c r="T36" s="0" t="s">
        <v>1025</v>
      </c>
      <c r="U36" s="0" t="s">
        <v>1025</v>
      </c>
      <c r="V36" s="0" t="s">
        <v>1033</v>
      </c>
      <c r="W36" s="0" t="s">
        <v>1034</v>
      </c>
      <c r="X36" s="0" t="s">
        <v>1035</v>
      </c>
      <c r="Y36" s="0" t="s">
        <v>1036</v>
      </c>
      <c r="Z36" s="0" t="s">
        <v>1037</v>
      </c>
      <c r="AA36" s="0" t="s">
        <v>1025</v>
      </c>
      <c r="AB36" s="1" t="s">
        <v>1038</v>
      </c>
      <c r="AC36" s="0" t="s">
        <v>1039</v>
      </c>
      <c r="AD36" s="0" t="s">
        <v>1030</v>
      </c>
      <c r="AE36" s="0" t="s">
        <v>1019</v>
      </c>
      <c r="AF36" s="0" t="s">
        <v>1036</v>
      </c>
      <c r="AG36" s="0" t="s">
        <v>1019</v>
      </c>
      <c r="AH36" s="0" t="s">
        <v>1019</v>
      </c>
      <c r="AI36" s="0" t="s">
        <v>1019</v>
      </c>
      <c r="AJ36" s="0" t="s">
        <v>1033</v>
      </c>
      <c r="AK36" s="0" t="s">
        <v>1040</v>
      </c>
      <c r="AL36" s="1" t="s">
        <v>1041</v>
      </c>
      <c r="AM36" s="0" t="s">
        <v>1042</v>
      </c>
      <c r="AN36" s="0" t="s">
        <v>1043</v>
      </c>
      <c r="AO36" s="0" t="s">
        <v>1044</v>
      </c>
      <c r="AP36" s="1" t="s">
        <v>1045</v>
      </c>
      <c r="AQ36" s="0" t="s">
        <v>1036</v>
      </c>
    </row>
    <row r="37" customFormat="false" ht="15" hidden="false" customHeight="false" outlineLevel="0" collapsed="false">
      <c r="A37" s="0" t="s">
        <v>1046</v>
      </c>
      <c r="B37" s="0" t="s">
        <v>1047</v>
      </c>
      <c r="C37" s="1" t="s">
        <v>1048</v>
      </c>
      <c r="D37" s="0" t="s">
        <v>1049</v>
      </c>
      <c r="E37" s="0" t="s">
        <v>1050</v>
      </c>
      <c r="F37" s="0" t="s">
        <v>1051</v>
      </c>
      <c r="G37" s="0" t="s">
        <v>1052</v>
      </c>
      <c r="H37" s="2" t="s">
        <v>1053</v>
      </c>
      <c r="I37" s="2" t="s">
        <v>1054</v>
      </c>
      <c r="J37" s="0" t="s">
        <v>1046</v>
      </c>
      <c r="K37" s="0" t="s">
        <v>1046</v>
      </c>
      <c r="L37" s="0" t="s">
        <v>1055</v>
      </c>
      <c r="M37" s="0" t="s">
        <v>1046</v>
      </c>
      <c r="N37" s="0" t="s">
        <v>1056</v>
      </c>
      <c r="O37" s="0" t="s">
        <v>1057</v>
      </c>
      <c r="P37" s="0" t="s">
        <v>1046</v>
      </c>
      <c r="Q37" s="0" t="s">
        <v>1058</v>
      </c>
      <c r="R37" s="1" t="s">
        <v>1059</v>
      </c>
      <c r="S37" s="0" t="s">
        <v>1060</v>
      </c>
      <c r="T37" s="0" t="s">
        <v>1061</v>
      </c>
      <c r="U37" s="0" t="s">
        <v>1062</v>
      </c>
      <c r="V37" s="0" t="s">
        <v>1063</v>
      </c>
      <c r="W37" s="2" t="s">
        <v>1064</v>
      </c>
      <c r="X37" s="0" t="s">
        <v>1050</v>
      </c>
      <c r="Y37" s="0" t="s">
        <v>1065</v>
      </c>
      <c r="Z37" s="0" t="s">
        <v>1061</v>
      </c>
      <c r="AA37" s="0" t="s">
        <v>1066</v>
      </c>
      <c r="AB37" s="1" t="s">
        <v>1067</v>
      </c>
      <c r="AC37" s="0" t="s">
        <v>1068</v>
      </c>
      <c r="AD37" s="0" t="s">
        <v>1069</v>
      </c>
      <c r="AE37" s="0" t="s">
        <v>1070</v>
      </c>
      <c r="AF37" s="0" t="s">
        <v>1071</v>
      </c>
      <c r="AG37" s="0" t="s">
        <v>1072</v>
      </c>
      <c r="AH37" s="0" t="s">
        <v>1073</v>
      </c>
      <c r="AI37" s="0" t="s">
        <v>1074</v>
      </c>
      <c r="AJ37" s="0" t="s">
        <v>1075</v>
      </c>
      <c r="AK37" s="0" t="s">
        <v>1066</v>
      </c>
      <c r="AL37" s="1" t="s">
        <v>1076</v>
      </c>
      <c r="AM37" s="0" t="s">
        <v>1077</v>
      </c>
      <c r="AN37" s="0" t="s">
        <v>1078</v>
      </c>
      <c r="AO37" s="0" t="s">
        <v>1071</v>
      </c>
      <c r="AP37" s="1" t="s">
        <v>1079</v>
      </c>
      <c r="AQ37" s="0" t="s">
        <v>1080</v>
      </c>
    </row>
    <row r="38" customFormat="false" ht="15" hidden="false" customHeight="false" outlineLevel="0" collapsed="false">
      <c r="A38" s="0" t="s">
        <v>1081</v>
      </c>
      <c r="B38" s="0" t="s">
        <v>1082</v>
      </c>
      <c r="C38" s="1" t="s">
        <v>1083</v>
      </c>
      <c r="D38" s="0" t="s">
        <v>1084</v>
      </c>
      <c r="E38" s="0" t="s">
        <v>1085</v>
      </c>
      <c r="F38" s="0" t="s">
        <v>1086</v>
      </c>
      <c r="G38" s="0" t="s">
        <v>1087</v>
      </c>
      <c r="H38" s="2" t="s">
        <v>1088</v>
      </c>
      <c r="I38" s="2" t="s">
        <v>1089</v>
      </c>
      <c r="J38" s="0" t="s">
        <v>1090</v>
      </c>
      <c r="K38" s="0" t="s">
        <v>1091</v>
      </c>
      <c r="L38" s="0" t="s">
        <v>1092</v>
      </c>
      <c r="M38" s="0" t="s">
        <v>1093</v>
      </c>
      <c r="N38" s="0" t="s">
        <v>1094</v>
      </c>
      <c r="O38" s="0" t="s">
        <v>1095</v>
      </c>
      <c r="P38" s="0" t="s">
        <v>1092</v>
      </c>
      <c r="Q38" s="0" t="s">
        <v>1096</v>
      </c>
      <c r="R38" s="1" t="s">
        <v>1097</v>
      </c>
      <c r="S38" s="0" t="s">
        <v>1098</v>
      </c>
      <c r="T38" s="0" t="s">
        <v>1099</v>
      </c>
      <c r="U38" s="0" t="s">
        <v>1081</v>
      </c>
      <c r="V38" s="0" t="s">
        <v>1100</v>
      </c>
      <c r="W38" s="2" t="s">
        <v>1101</v>
      </c>
      <c r="X38" s="0" t="s">
        <v>1102</v>
      </c>
      <c r="Y38" s="0" t="s">
        <v>1103</v>
      </c>
      <c r="Z38" s="0" t="s">
        <v>1104</v>
      </c>
      <c r="AA38" s="0" t="s">
        <v>1105</v>
      </c>
      <c r="AB38" s="1" t="s">
        <v>1106</v>
      </c>
      <c r="AC38" s="0" t="s">
        <v>1107</v>
      </c>
      <c r="AD38" s="0" t="s">
        <v>1108</v>
      </c>
      <c r="AE38" s="0" t="s">
        <v>1109</v>
      </c>
      <c r="AF38" s="0" t="s">
        <v>1110</v>
      </c>
      <c r="AG38" s="0" t="s">
        <v>1111</v>
      </c>
      <c r="AH38" s="0" t="s">
        <v>1112</v>
      </c>
      <c r="AI38" s="0" t="s">
        <v>1113</v>
      </c>
      <c r="AJ38" s="0" t="s">
        <v>1114</v>
      </c>
      <c r="AK38" s="0" t="s">
        <v>1092</v>
      </c>
      <c r="AL38" s="1" t="s">
        <v>1115</v>
      </c>
      <c r="AM38" s="0" t="s">
        <v>1116</v>
      </c>
      <c r="AN38" s="0" t="s">
        <v>1081</v>
      </c>
      <c r="AO38" s="0" t="s">
        <v>1117</v>
      </c>
      <c r="AP38" s="1" t="s">
        <v>1118</v>
      </c>
      <c r="AQ38" s="0" t="s">
        <v>1110</v>
      </c>
    </row>
    <row r="39" customFormat="false" ht="15" hidden="false" customHeight="false" outlineLevel="0" collapsed="false">
      <c r="A39" s="0" t="s">
        <v>1119</v>
      </c>
      <c r="B39" s="0" t="s">
        <v>1120</v>
      </c>
      <c r="C39" s="1" t="s">
        <v>1121</v>
      </c>
      <c r="D39" s="0" t="s">
        <v>1122</v>
      </c>
      <c r="E39" s="0" t="s">
        <v>1123</v>
      </c>
      <c r="F39" s="0" t="s">
        <v>1124</v>
      </c>
      <c r="G39" s="0" t="s">
        <v>1125</v>
      </c>
      <c r="H39" s="2" t="s">
        <v>1126</v>
      </c>
      <c r="I39" s="2" t="s">
        <v>1126</v>
      </c>
      <c r="J39" s="0" t="s">
        <v>1127</v>
      </c>
      <c r="K39" s="0" t="s">
        <v>1128</v>
      </c>
      <c r="L39" s="0" t="s">
        <v>1119</v>
      </c>
      <c r="M39" s="0" t="s">
        <v>1119</v>
      </c>
      <c r="N39" s="0" t="s">
        <v>1129</v>
      </c>
      <c r="O39" s="0" t="s">
        <v>1130</v>
      </c>
      <c r="P39" s="0" t="s">
        <v>1128</v>
      </c>
      <c r="Q39" s="0" t="s">
        <v>1131</v>
      </c>
      <c r="R39" s="1" t="s">
        <v>1132</v>
      </c>
      <c r="S39" s="0" t="s">
        <v>1133</v>
      </c>
      <c r="T39" s="0" t="s">
        <v>1127</v>
      </c>
      <c r="U39" s="0" t="s">
        <v>1119</v>
      </c>
      <c r="V39" s="0" t="s">
        <v>1134</v>
      </c>
      <c r="W39" s="2" t="s">
        <v>1135</v>
      </c>
      <c r="X39" s="0" t="s">
        <v>1123</v>
      </c>
      <c r="Y39" s="0" t="s">
        <v>1124</v>
      </c>
      <c r="Z39" s="0" t="s">
        <v>1136</v>
      </c>
      <c r="AA39" s="0" t="s">
        <v>1119</v>
      </c>
      <c r="AB39" s="1" t="s">
        <v>1137</v>
      </c>
      <c r="AC39" s="0" t="s">
        <v>1138</v>
      </c>
      <c r="AD39" s="0" t="s">
        <v>1139</v>
      </c>
      <c r="AE39" s="0" t="s">
        <v>1140</v>
      </c>
      <c r="AF39" s="0" t="s">
        <v>1141</v>
      </c>
      <c r="AG39" s="0" t="s">
        <v>1124</v>
      </c>
      <c r="AH39" s="0" t="s">
        <v>1128</v>
      </c>
      <c r="AI39" s="0" t="s">
        <v>1142</v>
      </c>
      <c r="AJ39" s="0" t="s">
        <v>1139</v>
      </c>
      <c r="AK39" s="0" t="s">
        <v>1128</v>
      </c>
      <c r="AL39" s="1" t="s">
        <v>1143</v>
      </c>
      <c r="AM39" s="0" t="s">
        <v>1123</v>
      </c>
      <c r="AN39" s="0" t="s">
        <v>1119</v>
      </c>
      <c r="AO39" s="0" t="s">
        <v>1141</v>
      </c>
      <c r="AP39" s="1" t="s">
        <v>1144</v>
      </c>
      <c r="AQ39" s="0" t="s">
        <v>1141</v>
      </c>
    </row>
    <row r="40" customFormat="false" ht="15" hidden="false" customHeight="false" outlineLevel="0" collapsed="false">
      <c r="A40" s="0" t="s">
        <v>1145</v>
      </c>
      <c r="B40" s="0" t="s">
        <v>1145</v>
      </c>
      <c r="C40" s="1" t="s">
        <v>1146</v>
      </c>
      <c r="D40" s="0" t="s">
        <v>1147</v>
      </c>
      <c r="E40" s="0" t="s">
        <v>1148</v>
      </c>
      <c r="F40" s="0" t="s">
        <v>1149</v>
      </c>
      <c r="G40" s="0" t="s">
        <v>1150</v>
      </c>
      <c r="H40" s="2" t="s">
        <v>1151</v>
      </c>
      <c r="I40" s="2" t="s">
        <v>1152</v>
      </c>
      <c r="J40" s="0" t="s">
        <v>1153</v>
      </c>
      <c r="K40" s="0" t="s">
        <v>1145</v>
      </c>
      <c r="L40" s="0" t="s">
        <v>1145</v>
      </c>
      <c r="M40" s="0" t="s">
        <v>1145</v>
      </c>
      <c r="N40" s="0" t="s">
        <v>1145</v>
      </c>
      <c r="O40" s="0" t="s">
        <v>1154</v>
      </c>
      <c r="P40" s="0" t="s">
        <v>1145</v>
      </c>
      <c r="Q40" s="0" t="s">
        <v>1155</v>
      </c>
      <c r="R40" s="1" t="s">
        <v>1156</v>
      </c>
      <c r="S40" s="0" t="s">
        <v>1145</v>
      </c>
      <c r="T40" s="0" t="s">
        <v>1145</v>
      </c>
      <c r="U40" s="0" t="s">
        <v>1145</v>
      </c>
      <c r="V40" s="0" t="s">
        <v>1145</v>
      </c>
      <c r="W40" s="2" t="s">
        <v>1157</v>
      </c>
      <c r="X40" s="0" t="s">
        <v>1158</v>
      </c>
      <c r="Y40" s="0" t="s">
        <v>1159</v>
      </c>
      <c r="Z40" s="0" t="s">
        <v>1160</v>
      </c>
      <c r="AA40" s="0" t="s">
        <v>1145</v>
      </c>
      <c r="AB40" s="1" t="s">
        <v>1161</v>
      </c>
      <c r="AC40" s="0" t="s">
        <v>1160</v>
      </c>
      <c r="AD40" s="0" t="s">
        <v>1150</v>
      </c>
      <c r="AE40" s="0" t="s">
        <v>1145</v>
      </c>
      <c r="AF40" s="0" t="s">
        <v>1149</v>
      </c>
      <c r="AG40" s="0" t="s">
        <v>1162</v>
      </c>
      <c r="AH40" s="0" t="s">
        <v>1163</v>
      </c>
      <c r="AI40" s="0" t="s">
        <v>1153</v>
      </c>
      <c r="AJ40" s="0" t="s">
        <v>1145</v>
      </c>
      <c r="AK40" s="0" t="s">
        <v>1145</v>
      </c>
      <c r="AL40" s="1" t="s">
        <v>1164</v>
      </c>
      <c r="AM40" s="0" t="s">
        <v>1145</v>
      </c>
      <c r="AN40" s="0" t="s">
        <v>1145</v>
      </c>
      <c r="AO40" s="0" t="s">
        <v>1149</v>
      </c>
      <c r="AP40" s="1" t="s">
        <v>1165</v>
      </c>
      <c r="AQ40" s="0" t="s">
        <v>1149</v>
      </c>
    </row>
    <row r="41" customFormat="false" ht="15" hidden="false" customHeight="false" outlineLevel="0" collapsed="false">
      <c r="A41" s="0" t="s">
        <v>1166</v>
      </c>
      <c r="B41" s="0" t="s">
        <v>1167</v>
      </c>
      <c r="C41" s="1" t="s">
        <v>1168</v>
      </c>
      <c r="D41" s="0" t="s">
        <v>1169</v>
      </c>
      <c r="E41" s="0" t="s">
        <v>1170</v>
      </c>
      <c r="F41" s="0" t="s">
        <v>1171</v>
      </c>
      <c r="G41" s="0" t="s">
        <v>1172</v>
      </c>
      <c r="H41" s="2" t="s">
        <v>1173</v>
      </c>
      <c r="I41" s="2" t="s">
        <v>1174</v>
      </c>
      <c r="J41" s="0" t="s">
        <v>1175</v>
      </c>
      <c r="K41" s="0" t="s">
        <v>1176</v>
      </c>
      <c r="L41" s="0" t="s">
        <v>1177</v>
      </c>
      <c r="M41" s="0" t="s">
        <v>1178</v>
      </c>
      <c r="N41" s="0" t="s">
        <v>1166</v>
      </c>
      <c r="O41" s="0" t="s">
        <v>1179</v>
      </c>
      <c r="P41" s="0" t="s">
        <v>1180</v>
      </c>
      <c r="Q41" s="0" t="s">
        <v>1181</v>
      </c>
      <c r="R41" s="1" t="s">
        <v>1182</v>
      </c>
      <c r="S41" s="0" t="s">
        <v>1183</v>
      </c>
      <c r="T41" s="0" t="s">
        <v>1184</v>
      </c>
      <c r="U41" s="0" t="s">
        <v>1166</v>
      </c>
      <c r="V41" s="0" t="s">
        <v>1185</v>
      </c>
      <c r="W41" s="2" t="s">
        <v>1186</v>
      </c>
      <c r="X41" s="0" t="s">
        <v>1187</v>
      </c>
      <c r="Y41" s="0" t="s">
        <v>1188</v>
      </c>
      <c r="Z41" s="0" t="s">
        <v>1189</v>
      </c>
      <c r="AA41" s="0" t="s">
        <v>1190</v>
      </c>
      <c r="AB41" s="1" t="s">
        <v>1191</v>
      </c>
      <c r="AC41" s="0" t="s">
        <v>1192</v>
      </c>
      <c r="AD41" s="0" t="s">
        <v>1172</v>
      </c>
      <c r="AE41" s="0" t="s">
        <v>1193</v>
      </c>
      <c r="AF41" s="0" t="s">
        <v>1171</v>
      </c>
      <c r="AG41" s="0" t="s">
        <v>1194</v>
      </c>
      <c r="AH41" s="0" t="s">
        <v>1195</v>
      </c>
      <c r="AI41" s="0" t="s">
        <v>1166</v>
      </c>
      <c r="AJ41" s="0" t="s">
        <v>1185</v>
      </c>
      <c r="AK41" s="0" t="s">
        <v>1190</v>
      </c>
      <c r="AL41" s="1" t="s">
        <v>1196</v>
      </c>
      <c r="AM41" s="0" t="s">
        <v>1170</v>
      </c>
      <c r="AN41" s="0" t="s">
        <v>1197</v>
      </c>
      <c r="AO41" s="0" t="s">
        <v>1198</v>
      </c>
      <c r="AP41" s="1" t="s">
        <v>1199</v>
      </c>
      <c r="AQ41" s="0" t="s">
        <v>1171</v>
      </c>
    </row>
    <row r="42" customFormat="false" ht="15" hidden="false" customHeight="false" outlineLevel="0" collapsed="false">
      <c r="A42" s="0" t="s">
        <v>1200</v>
      </c>
      <c r="B42" s="0" t="s">
        <v>1201</v>
      </c>
      <c r="C42" s="1" t="s">
        <v>1202</v>
      </c>
      <c r="D42" s="0" t="s">
        <v>1203</v>
      </c>
      <c r="E42" s="0" t="s">
        <v>1200</v>
      </c>
      <c r="F42" s="0" t="s">
        <v>1204</v>
      </c>
      <c r="G42" s="0" t="s">
        <v>1200</v>
      </c>
      <c r="H42" s="2" t="s">
        <v>1205</v>
      </c>
      <c r="I42" s="2" t="s">
        <v>1205</v>
      </c>
      <c r="J42" s="0" t="s">
        <v>1200</v>
      </c>
      <c r="K42" s="0" t="s">
        <v>1200</v>
      </c>
      <c r="L42" s="0" t="s">
        <v>1200</v>
      </c>
      <c r="M42" s="0" t="s">
        <v>1206</v>
      </c>
      <c r="N42" s="0" t="s">
        <v>1207</v>
      </c>
      <c r="O42" s="0" t="s">
        <v>1208</v>
      </c>
      <c r="P42" s="0" t="s">
        <v>1209</v>
      </c>
      <c r="Q42" s="0" t="s">
        <v>1210</v>
      </c>
      <c r="R42" s="1" t="s">
        <v>1211</v>
      </c>
      <c r="S42" s="0" t="s">
        <v>1212</v>
      </c>
      <c r="T42" s="0" t="s">
        <v>1200</v>
      </c>
      <c r="U42" s="0" t="s">
        <v>1200</v>
      </c>
      <c r="V42" s="0" t="s">
        <v>1200</v>
      </c>
      <c r="W42" s="2" t="s">
        <v>1213</v>
      </c>
      <c r="X42" s="0" t="s">
        <v>1200</v>
      </c>
      <c r="Y42" s="0" t="s">
        <v>1214</v>
      </c>
      <c r="Z42" s="0" t="s">
        <v>1215</v>
      </c>
      <c r="AA42" s="0" t="s">
        <v>1200</v>
      </c>
      <c r="AB42" s="1" t="s">
        <v>1216</v>
      </c>
      <c r="AC42" s="0" t="s">
        <v>1217</v>
      </c>
      <c r="AD42" s="0" t="s">
        <v>1200</v>
      </c>
      <c r="AE42" s="0" t="s">
        <v>1200</v>
      </c>
      <c r="AF42" s="0" t="s">
        <v>1214</v>
      </c>
      <c r="AG42" s="0" t="s">
        <v>1214</v>
      </c>
      <c r="AH42" s="0" t="s">
        <v>1212</v>
      </c>
      <c r="AI42" s="0" t="s">
        <v>1200</v>
      </c>
      <c r="AJ42" s="0" t="s">
        <v>1200</v>
      </c>
      <c r="AK42" s="0" t="s">
        <v>1200</v>
      </c>
      <c r="AL42" s="1" t="s">
        <v>1218</v>
      </c>
      <c r="AM42" s="0" t="s">
        <v>1219</v>
      </c>
      <c r="AN42" s="0" t="s">
        <v>1200</v>
      </c>
      <c r="AO42" s="0" t="s">
        <v>1214</v>
      </c>
      <c r="AP42" s="1" t="s">
        <v>1220</v>
      </c>
      <c r="AQ42" s="0" t="s">
        <v>1214</v>
      </c>
    </row>
    <row r="43" customFormat="false" ht="15" hidden="false" customHeight="false" outlineLevel="0" collapsed="false">
      <c r="A43" s="0" t="s">
        <v>1221</v>
      </c>
      <c r="B43" s="0" t="s">
        <v>1222</v>
      </c>
      <c r="C43" s="1" t="s">
        <v>1223</v>
      </c>
      <c r="D43" s="0" t="s">
        <v>1224</v>
      </c>
      <c r="E43" s="0" t="s">
        <v>1221</v>
      </c>
      <c r="F43" s="0" t="s">
        <v>1225</v>
      </c>
      <c r="G43" s="0" t="s">
        <v>1226</v>
      </c>
      <c r="H43" s="2" t="s">
        <v>1227</v>
      </c>
      <c r="I43" s="2" t="s">
        <v>1228</v>
      </c>
      <c r="J43" s="0" t="s">
        <v>1229</v>
      </c>
      <c r="K43" s="0" t="s">
        <v>1230</v>
      </c>
      <c r="L43" s="0" t="s">
        <v>1221</v>
      </c>
      <c r="M43" s="0" t="s">
        <v>1221</v>
      </c>
      <c r="N43" s="0" t="s">
        <v>1221</v>
      </c>
      <c r="O43" s="0" t="s">
        <v>1231</v>
      </c>
      <c r="P43" s="0" t="s">
        <v>1221</v>
      </c>
      <c r="Q43" s="0" t="s">
        <v>1232</v>
      </c>
      <c r="R43" s="1" t="s">
        <v>1233</v>
      </c>
      <c r="S43" s="0" t="s">
        <v>1234</v>
      </c>
      <c r="T43" s="0" t="s">
        <v>1221</v>
      </c>
      <c r="U43" s="0" t="s">
        <v>1235</v>
      </c>
      <c r="V43" s="0" t="s">
        <v>1221</v>
      </c>
      <c r="W43" s="2" t="s">
        <v>1236</v>
      </c>
      <c r="X43" s="0" t="s">
        <v>1229</v>
      </c>
      <c r="Y43" s="0" t="s">
        <v>1237</v>
      </c>
      <c r="Z43" s="0" t="s">
        <v>1238</v>
      </c>
      <c r="AA43" s="0" t="s">
        <v>1221</v>
      </c>
      <c r="AB43" s="1" t="s">
        <v>1239</v>
      </c>
      <c r="AC43" s="0" t="s">
        <v>1221</v>
      </c>
      <c r="AD43" s="0" t="s">
        <v>1234</v>
      </c>
      <c r="AE43" s="0" t="s">
        <v>1221</v>
      </c>
      <c r="AF43" s="0" t="s">
        <v>1225</v>
      </c>
      <c r="AG43" s="0" t="s">
        <v>1237</v>
      </c>
      <c r="AH43" s="0" t="s">
        <v>1234</v>
      </c>
      <c r="AI43" s="0" t="s">
        <v>1229</v>
      </c>
      <c r="AJ43" s="0" t="s">
        <v>1221</v>
      </c>
      <c r="AK43" s="0" t="s">
        <v>1221</v>
      </c>
      <c r="AL43" s="1" t="s">
        <v>1240</v>
      </c>
      <c r="AM43" s="0" t="s">
        <v>1241</v>
      </c>
      <c r="AN43" s="0" t="s">
        <v>1221</v>
      </c>
      <c r="AO43" s="0" t="s">
        <v>1242</v>
      </c>
      <c r="AP43" s="1" t="s">
        <v>1243</v>
      </c>
      <c r="AQ43" s="0" t="s">
        <v>1225</v>
      </c>
    </row>
    <row r="44" customFormat="false" ht="15" hidden="false" customHeight="false" outlineLevel="0" collapsed="false">
      <c r="A44" s="0" t="s">
        <v>1244</v>
      </c>
      <c r="B44" s="0" t="s">
        <v>1244</v>
      </c>
      <c r="C44" s="1" t="s">
        <v>1245</v>
      </c>
      <c r="D44" s="0" t="s">
        <v>1246</v>
      </c>
      <c r="E44" s="0" t="s">
        <v>1247</v>
      </c>
      <c r="F44" s="0" t="s">
        <v>1248</v>
      </c>
      <c r="G44" s="0" t="s">
        <v>1249</v>
      </c>
      <c r="H44" s="2" t="s">
        <v>1250</v>
      </c>
      <c r="I44" s="2" t="s">
        <v>1251</v>
      </c>
      <c r="J44" s="0" t="s">
        <v>1252</v>
      </c>
      <c r="K44" s="0" t="s">
        <v>1253</v>
      </c>
      <c r="L44" s="0" t="s">
        <v>1254</v>
      </c>
      <c r="M44" s="0" t="s">
        <v>1255</v>
      </c>
      <c r="N44" s="0" t="s">
        <v>1256</v>
      </c>
      <c r="O44" s="0" t="s">
        <v>1257</v>
      </c>
      <c r="P44" s="0" t="s">
        <v>1258</v>
      </c>
      <c r="Q44" s="0" t="s">
        <v>1259</v>
      </c>
      <c r="R44" s="1" t="s">
        <v>1260</v>
      </c>
      <c r="S44" s="0" t="s">
        <v>1261</v>
      </c>
      <c r="T44" s="0" t="s">
        <v>1262</v>
      </c>
      <c r="U44" s="0" t="s">
        <v>1263</v>
      </c>
      <c r="V44" s="0" t="s">
        <v>1264</v>
      </c>
      <c r="W44" s="2" t="s">
        <v>1265</v>
      </c>
      <c r="X44" s="0" t="s">
        <v>1266</v>
      </c>
      <c r="Y44" s="0" t="s">
        <v>1267</v>
      </c>
      <c r="Z44" s="0" t="s">
        <v>1268</v>
      </c>
      <c r="AA44" s="0" t="s">
        <v>1269</v>
      </c>
      <c r="AB44" s="1" t="s">
        <v>1270</v>
      </c>
      <c r="AC44" s="0" t="s">
        <v>1271</v>
      </c>
      <c r="AD44" s="0" t="s">
        <v>1272</v>
      </c>
      <c r="AE44" s="0" t="s">
        <v>1273</v>
      </c>
      <c r="AF44" s="0" t="s">
        <v>1274</v>
      </c>
      <c r="AG44" s="0" t="s">
        <v>1275</v>
      </c>
      <c r="AH44" s="0" t="s">
        <v>1276</v>
      </c>
      <c r="AI44" s="0" t="s">
        <v>1252</v>
      </c>
      <c r="AJ44" s="0" t="s">
        <v>1249</v>
      </c>
      <c r="AK44" s="0" t="s">
        <v>1254</v>
      </c>
      <c r="AL44" s="1" t="s">
        <v>1277</v>
      </c>
      <c r="AM44" s="0" t="s">
        <v>1278</v>
      </c>
      <c r="AN44" s="0" t="s">
        <v>1279</v>
      </c>
      <c r="AO44" s="0" t="s">
        <v>1280</v>
      </c>
      <c r="AP44" s="1" t="s">
        <v>1281</v>
      </c>
      <c r="AQ44" s="0" t="s">
        <v>1282</v>
      </c>
    </row>
    <row r="45" customFormat="false" ht="15" hidden="false" customHeight="false" outlineLevel="0" collapsed="false">
      <c r="A45" s="0" t="s">
        <v>1283</v>
      </c>
      <c r="B45" s="0" t="s">
        <v>1284</v>
      </c>
      <c r="C45" s="1" t="s">
        <v>1285</v>
      </c>
      <c r="D45" s="0" t="s">
        <v>1286</v>
      </c>
      <c r="E45" s="0" t="s">
        <v>1287</v>
      </c>
      <c r="F45" s="0" t="s">
        <v>1288</v>
      </c>
      <c r="G45" s="0" t="s">
        <v>1289</v>
      </c>
      <c r="H45" s="2" t="s">
        <v>1290</v>
      </c>
      <c r="I45" s="2" t="s">
        <v>1291</v>
      </c>
      <c r="J45" s="0" t="s">
        <v>1292</v>
      </c>
      <c r="K45" s="0" t="s">
        <v>1293</v>
      </c>
      <c r="L45" s="0" t="s">
        <v>1294</v>
      </c>
      <c r="M45" s="0" t="s">
        <v>1294</v>
      </c>
      <c r="N45" s="0" t="s">
        <v>1295</v>
      </c>
      <c r="O45" s="0" t="s">
        <v>1296</v>
      </c>
      <c r="P45" s="0" t="s">
        <v>1294</v>
      </c>
      <c r="Q45" s="0" t="s">
        <v>1297</v>
      </c>
      <c r="R45" s="1" t="s">
        <v>1298</v>
      </c>
      <c r="S45" s="0" t="s">
        <v>1299</v>
      </c>
      <c r="T45" s="0" t="s">
        <v>1300</v>
      </c>
      <c r="U45" s="0" t="s">
        <v>1283</v>
      </c>
      <c r="V45" s="0" t="s">
        <v>1301</v>
      </c>
      <c r="W45" s="2" t="s">
        <v>1302</v>
      </c>
      <c r="X45" s="0" t="s">
        <v>1303</v>
      </c>
      <c r="Y45" s="0" t="s">
        <v>1304</v>
      </c>
      <c r="Z45" s="0" t="s">
        <v>1305</v>
      </c>
      <c r="AA45" s="0" t="s">
        <v>1294</v>
      </c>
      <c r="AB45" s="1" t="s">
        <v>1306</v>
      </c>
      <c r="AC45" s="0" t="s">
        <v>1307</v>
      </c>
      <c r="AD45" s="0" t="s">
        <v>1308</v>
      </c>
      <c r="AE45" s="0" t="s">
        <v>1301</v>
      </c>
      <c r="AF45" s="0" t="s">
        <v>1309</v>
      </c>
      <c r="AG45" s="0" t="s">
        <v>1310</v>
      </c>
      <c r="AH45" s="0" t="s">
        <v>1311</v>
      </c>
      <c r="AI45" s="0" t="s">
        <v>1292</v>
      </c>
      <c r="AJ45" s="0" t="s">
        <v>1301</v>
      </c>
      <c r="AK45" s="0" t="s">
        <v>1312</v>
      </c>
      <c r="AL45" s="1" t="s">
        <v>1313</v>
      </c>
      <c r="AM45" s="0" t="s">
        <v>1314</v>
      </c>
      <c r="AN45" s="0" t="s">
        <v>1315</v>
      </c>
      <c r="AO45" s="0" t="s">
        <v>1316</v>
      </c>
      <c r="AP45" s="1" t="s">
        <v>1317</v>
      </c>
      <c r="AQ45" s="0" t="s">
        <v>1309</v>
      </c>
    </row>
    <row r="46" customFormat="false" ht="15" hidden="false" customHeight="false" outlineLevel="0" collapsed="false">
      <c r="A46" s="0" t="s">
        <v>1318</v>
      </c>
      <c r="B46" s="0" t="s">
        <v>1319</v>
      </c>
      <c r="C46" s="1" t="s">
        <v>1320</v>
      </c>
      <c r="D46" s="0" t="s">
        <v>1321</v>
      </c>
      <c r="E46" s="0" t="s">
        <v>1322</v>
      </c>
      <c r="F46" s="0" t="s">
        <v>1323</v>
      </c>
      <c r="G46" s="0" t="s">
        <v>1324</v>
      </c>
      <c r="H46" s="2" t="s">
        <v>1325</v>
      </c>
      <c r="I46" s="2" t="s">
        <v>1326</v>
      </c>
      <c r="J46" s="0" t="s">
        <v>1327</v>
      </c>
      <c r="K46" s="0" t="s">
        <v>1328</v>
      </c>
      <c r="L46" s="0" t="s">
        <v>1318</v>
      </c>
      <c r="M46" s="0" t="s">
        <v>1329</v>
      </c>
      <c r="N46" s="0" t="s">
        <v>1330</v>
      </c>
      <c r="O46" s="0" t="s">
        <v>1331</v>
      </c>
      <c r="P46" s="0" t="s">
        <v>1318</v>
      </c>
      <c r="Q46" s="0" t="s">
        <v>1332</v>
      </c>
      <c r="R46" s="1" t="s">
        <v>1333</v>
      </c>
      <c r="S46" s="0" t="s">
        <v>1334</v>
      </c>
      <c r="T46" s="0" t="s">
        <v>1335</v>
      </c>
      <c r="U46" s="0" t="s">
        <v>1318</v>
      </c>
      <c r="V46" s="0" t="s">
        <v>1336</v>
      </c>
      <c r="W46" s="2" t="s">
        <v>1337</v>
      </c>
      <c r="X46" s="0" t="s">
        <v>1338</v>
      </c>
      <c r="Y46" s="0" t="s">
        <v>1339</v>
      </c>
      <c r="Z46" s="0" t="s">
        <v>1340</v>
      </c>
      <c r="AA46" s="0" t="s">
        <v>1318</v>
      </c>
      <c r="AB46" s="1" t="s">
        <v>1341</v>
      </c>
      <c r="AC46" s="0" t="s">
        <v>1334</v>
      </c>
      <c r="AD46" s="0" t="s">
        <v>1342</v>
      </c>
      <c r="AE46" s="0" t="s">
        <v>1334</v>
      </c>
      <c r="AF46" s="0" t="s">
        <v>1323</v>
      </c>
      <c r="AG46" s="0" t="s">
        <v>1343</v>
      </c>
      <c r="AH46" s="0" t="s">
        <v>1344</v>
      </c>
      <c r="AI46" s="0" t="s">
        <v>1338</v>
      </c>
      <c r="AJ46" s="0" t="s">
        <v>1342</v>
      </c>
      <c r="AK46" s="0" t="s">
        <v>1318</v>
      </c>
      <c r="AL46" s="1" t="s">
        <v>1345</v>
      </c>
      <c r="AM46" s="0" t="s">
        <v>1346</v>
      </c>
      <c r="AN46" s="0" t="s">
        <v>1347</v>
      </c>
      <c r="AO46" s="0" t="s">
        <v>1348</v>
      </c>
      <c r="AP46" s="1" t="s">
        <v>1349</v>
      </c>
      <c r="AQ46" s="0" t="s">
        <v>1323</v>
      </c>
    </row>
    <row r="47" customFormat="false" ht="15" hidden="false" customHeight="false" outlineLevel="0" collapsed="false">
      <c r="A47" s="0" t="s">
        <v>1350</v>
      </c>
      <c r="B47" s="0" t="s">
        <v>1350</v>
      </c>
      <c r="C47" s="1" t="s">
        <v>1351</v>
      </c>
      <c r="D47" s="0" t="s">
        <v>1352</v>
      </c>
      <c r="E47" s="0" t="s">
        <v>1353</v>
      </c>
      <c r="F47" s="0" t="s">
        <v>1354</v>
      </c>
      <c r="G47" s="0" t="s">
        <v>1355</v>
      </c>
      <c r="H47" s="2" t="s">
        <v>1356</v>
      </c>
      <c r="I47" s="2" t="s">
        <v>1357</v>
      </c>
      <c r="J47" s="0" t="s">
        <v>1358</v>
      </c>
      <c r="K47" s="0" t="s">
        <v>1359</v>
      </c>
      <c r="L47" s="0" t="s">
        <v>1360</v>
      </c>
      <c r="M47" s="0" t="s">
        <v>1361</v>
      </c>
      <c r="N47" s="0" t="s">
        <v>1362</v>
      </c>
      <c r="O47" s="0" t="s">
        <v>1363</v>
      </c>
      <c r="P47" s="0" t="s">
        <v>1360</v>
      </c>
      <c r="Q47" s="0" t="s">
        <v>1364</v>
      </c>
      <c r="R47" s="1" t="s">
        <v>1365</v>
      </c>
      <c r="S47" s="0" t="s">
        <v>1366</v>
      </c>
      <c r="T47" s="0" t="s">
        <v>1350</v>
      </c>
      <c r="U47" s="0" t="s">
        <v>1367</v>
      </c>
      <c r="V47" s="0" t="s">
        <v>1350</v>
      </c>
      <c r="W47" s="2" t="s">
        <v>1368</v>
      </c>
      <c r="X47" s="0" t="s">
        <v>1369</v>
      </c>
      <c r="Y47" s="0" t="s">
        <v>1370</v>
      </c>
      <c r="Z47" s="0" t="s">
        <v>1371</v>
      </c>
      <c r="AA47" s="0" t="s">
        <v>1350</v>
      </c>
      <c r="AB47" s="1" t="s">
        <v>1372</v>
      </c>
      <c r="AC47" s="0" t="s">
        <v>1350</v>
      </c>
      <c r="AD47" s="0" t="s">
        <v>1373</v>
      </c>
      <c r="AE47" s="0" t="s">
        <v>1350</v>
      </c>
      <c r="AF47" s="0" t="s">
        <v>1374</v>
      </c>
      <c r="AG47" s="0" t="s">
        <v>1370</v>
      </c>
      <c r="AH47" s="0" t="s">
        <v>1359</v>
      </c>
      <c r="AI47" s="0" t="s">
        <v>1358</v>
      </c>
      <c r="AJ47" s="0" t="s">
        <v>1350</v>
      </c>
      <c r="AK47" s="0" t="s">
        <v>1360</v>
      </c>
      <c r="AL47" s="1" t="s">
        <v>1375</v>
      </c>
      <c r="AM47" s="0" t="s">
        <v>1376</v>
      </c>
      <c r="AN47" s="0" t="s">
        <v>1350</v>
      </c>
      <c r="AO47" s="0" t="s">
        <v>1377</v>
      </c>
      <c r="AP47" s="1" t="s">
        <v>1378</v>
      </c>
      <c r="AQ47" s="0" t="s">
        <v>1374</v>
      </c>
    </row>
    <row r="48" customFormat="false" ht="15" hidden="false" customHeight="false" outlineLevel="0" collapsed="false">
      <c r="A48" s="0" t="s">
        <v>1379</v>
      </c>
      <c r="B48" s="0" t="s">
        <v>1379</v>
      </c>
      <c r="C48" s="1" t="s">
        <v>1380</v>
      </c>
      <c r="D48" s="0" t="s">
        <v>1381</v>
      </c>
      <c r="E48" s="0" t="s">
        <v>1379</v>
      </c>
      <c r="F48" s="0" t="s">
        <v>1382</v>
      </c>
      <c r="G48" s="0" t="s">
        <v>1383</v>
      </c>
      <c r="H48" s="2" t="s">
        <v>1384</v>
      </c>
      <c r="I48" s="2" t="s">
        <v>1385</v>
      </c>
      <c r="J48" s="0" t="s">
        <v>1379</v>
      </c>
      <c r="K48" s="0" t="s">
        <v>1379</v>
      </c>
      <c r="L48" s="0" t="s">
        <v>1379</v>
      </c>
      <c r="M48" s="0" t="s">
        <v>1379</v>
      </c>
      <c r="N48" s="0" t="s">
        <v>1386</v>
      </c>
      <c r="O48" s="0" t="s">
        <v>1387</v>
      </c>
      <c r="P48" s="0" t="s">
        <v>1379</v>
      </c>
      <c r="Q48" s="0" t="s">
        <v>1388</v>
      </c>
      <c r="R48" s="1" t="s">
        <v>1389</v>
      </c>
      <c r="S48" s="0" t="s">
        <v>1379</v>
      </c>
      <c r="T48" s="0" t="s">
        <v>1379</v>
      </c>
      <c r="U48" s="0" t="s">
        <v>1379</v>
      </c>
      <c r="V48" s="0" t="s">
        <v>1390</v>
      </c>
      <c r="W48" s="2" t="s">
        <v>1391</v>
      </c>
      <c r="X48" s="0" t="s">
        <v>1379</v>
      </c>
      <c r="Y48" s="0" t="s">
        <v>1382</v>
      </c>
      <c r="Z48" s="0" t="s">
        <v>1390</v>
      </c>
      <c r="AA48" s="0" t="s">
        <v>1379</v>
      </c>
      <c r="AB48" s="1" t="s">
        <v>1392</v>
      </c>
      <c r="AC48" s="0" t="s">
        <v>1379</v>
      </c>
      <c r="AD48" s="0" t="s">
        <v>1379</v>
      </c>
      <c r="AE48" s="0" t="s">
        <v>1379</v>
      </c>
      <c r="AF48" s="0" t="s">
        <v>1382</v>
      </c>
      <c r="AG48" s="0" t="s">
        <v>1382</v>
      </c>
      <c r="AH48" s="0" t="s">
        <v>1379</v>
      </c>
      <c r="AI48" s="0" t="s">
        <v>1379</v>
      </c>
      <c r="AJ48" s="0" t="s">
        <v>1383</v>
      </c>
      <c r="AK48" s="0" t="s">
        <v>1393</v>
      </c>
      <c r="AL48" s="1" t="s">
        <v>1394</v>
      </c>
      <c r="AM48" s="0" t="s">
        <v>1379</v>
      </c>
      <c r="AN48" s="0" t="s">
        <v>1379</v>
      </c>
      <c r="AO48" s="0" t="s">
        <v>1382</v>
      </c>
      <c r="AP48" s="1" t="s">
        <v>1395</v>
      </c>
      <c r="AQ48" s="0" t="s">
        <v>1382</v>
      </c>
    </row>
    <row r="49" customFormat="false" ht="15" hidden="false" customHeight="false" outlineLevel="0" collapsed="false">
      <c r="A49" s="0" t="s">
        <v>1396</v>
      </c>
      <c r="B49" s="0" t="s">
        <v>1397</v>
      </c>
      <c r="C49" s="1" t="s">
        <v>1398</v>
      </c>
      <c r="D49" s="0" t="s">
        <v>1399</v>
      </c>
      <c r="E49" s="0" t="s">
        <v>1400</v>
      </c>
      <c r="F49" s="0" t="s">
        <v>1401</v>
      </c>
      <c r="G49" s="0" t="s">
        <v>1402</v>
      </c>
      <c r="H49" s="2" t="s">
        <v>1403</v>
      </c>
      <c r="I49" s="2" t="s">
        <v>1404</v>
      </c>
      <c r="J49" s="0" t="s">
        <v>1405</v>
      </c>
      <c r="K49" s="0" t="s">
        <v>1406</v>
      </c>
      <c r="L49" s="0" t="s">
        <v>1407</v>
      </c>
      <c r="M49" s="0" t="s">
        <v>1407</v>
      </c>
      <c r="N49" s="0" t="s">
        <v>1408</v>
      </c>
      <c r="O49" s="0" t="s">
        <v>1409</v>
      </c>
      <c r="P49" s="0" t="s">
        <v>1410</v>
      </c>
      <c r="Q49" s="0" t="s">
        <v>1411</v>
      </c>
      <c r="R49" s="1" t="s">
        <v>1412</v>
      </c>
      <c r="S49" s="0" t="s">
        <v>1413</v>
      </c>
      <c r="T49" s="0" t="s">
        <v>1414</v>
      </c>
      <c r="U49" s="0" t="s">
        <v>1396</v>
      </c>
      <c r="V49" s="0" t="s">
        <v>1396</v>
      </c>
      <c r="W49" s="2" t="s">
        <v>1415</v>
      </c>
      <c r="X49" s="0" t="s">
        <v>1405</v>
      </c>
      <c r="Y49" s="0" t="s">
        <v>1416</v>
      </c>
      <c r="Z49" s="0" t="s">
        <v>1417</v>
      </c>
      <c r="AA49" s="0" t="s">
        <v>1410</v>
      </c>
      <c r="AB49" s="1" t="s">
        <v>1418</v>
      </c>
      <c r="AC49" s="0" t="s">
        <v>1419</v>
      </c>
      <c r="AD49" s="0" t="s">
        <v>1402</v>
      </c>
      <c r="AE49" s="0" t="s">
        <v>1414</v>
      </c>
      <c r="AF49" s="0" t="s">
        <v>1420</v>
      </c>
      <c r="AG49" s="0" t="s">
        <v>1416</v>
      </c>
      <c r="AH49" s="0" t="s">
        <v>1406</v>
      </c>
      <c r="AI49" s="0" t="s">
        <v>1405</v>
      </c>
      <c r="AJ49" s="0" t="s">
        <v>1414</v>
      </c>
      <c r="AK49" s="0" t="s">
        <v>1421</v>
      </c>
      <c r="AL49" s="1" t="s">
        <v>1422</v>
      </c>
      <c r="AM49" s="0" t="s">
        <v>1423</v>
      </c>
      <c r="AN49" s="0" t="s">
        <v>1424</v>
      </c>
      <c r="AO49" s="0" t="s">
        <v>1425</v>
      </c>
      <c r="AP49" s="1" t="s">
        <v>1426</v>
      </c>
      <c r="AQ49" s="0" t="s">
        <v>1420</v>
      </c>
    </row>
    <row r="50" customFormat="false" ht="15" hidden="false" customHeight="false" outlineLevel="0" collapsed="false">
      <c r="A50" s="0" t="s">
        <v>1427</v>
      </c>
      <c r="B50" s="0" t="s">
        <v>1428</v>
      </c>
      <c r="C50" s="1" t="s">
        <v>1429</v>
      </c>
      <c r="D50" s="0" t="s">
        <v>1430</v>
      </c>
      <c r="E50" s="0" t="s">
        <v>1431</v>
      </c>
      <c r="F50" s="0" t="s">
        <v>1432</v>
      </c>
      <c r="G50" s="0" t="s">
        <v>1433</v>
      </c>
      <c r="H50" s="2" t="s">
        <v>1434</v>
      </c>
      <c r="I50" s="2" t="s">
        <v>1435</v>
      </c>
      <c r="J50" s="0" t="s">
        <v>1436</v>
      </c>
      <c r="K50" s="0" t="s">
        <v>1437</v>
      </c>
      <c r="L50" s="0" t="s">
        <v>1438</v>
      </c>
      <c r="M50" s="0" t="s">
        <v>1439</v>
      </c>
      <c r="N50" s="0" t="s">
        <v>1440</v>
      </c>
      <c r="O50" s="0" t="s">
        <v>1441</v>
      </c>
      <c r="P50" s="0" t="s">
        <v>1442</v>
      </c>
      <c r="Q50" s="0" t="s">
        <v>1443</v>
      </c>
      <c r="R50" s="1" t="s">
        <v>1444</v>
      </c>
      <c r="S50" s="0" t="s">
        <v>1445</v>
      </c>
      <c r="T50" s="0" t="s">
        <v>1446</v>
      </c>
      <c r="U50" s="0" t="s">
        <v>1447</v>
      </c>
      <c r="V50" s="0" t="s">
        <v>1448</v>
      </c>
      <c r="W50" s="2" t="s">
        <v>1449</v>
      </c>
      <c r="X50" s="0" t="s">
        <v>1450</v>
      </c>
      <c r="Y50" s="0" t="s">
        <v>1451</v>
      </c>
      <c r="Z50" s="0" t="s">
        <v>1452</v>
      </c>
      <c r="AA50" s="0" t="s">
        <v>1438</v>
      </c>
      <c r="AB50" s="1" t="s">
        <v>1453</v>
      </c>
      <c r="AC50" s="0" t="s">
        <v>1454</v>
      </c>
      <c r="AD50" s="0" t="s">
        <v>1455</v>
      </c>
      <c r="AE50" s="0" t="s">
        <v>1448</v>
      </c>
      <c r="AF50" s="0" t="s">
        <v>1432</v>
      </c>
      <c r="AG50" s="0" t="s">
        <v>1456</v>
      </c>
      <c r="AH50" s="0" t="s">
        <v>1457</v>
      </c>
      <c r="AI50" s="0" t="s">
        <v>1458</v>
      </c>
      <c r="AJ50" s="0" t="s">
        <v>1459</v>
      </c>
      <c r="AK50" s="0" t="s">
        <v>1438</v>
      </c>
      <c r="AL50" s="1" t="s">
        <v>1460</v>
      </c>
      <c r="AM50" s="0" t="s">
        <v>1461</v>
      </c>
      <c r="AN50" s="0" t="s">
        <v>1462</v>
      </c>
      <c r="AO50" s="0" t="s">
        <v>1463</v>
      </c>
      <c r="AP50" s="1" t="s">
        <v>1464</v>
      </c>
      <c r="AQ50" s="0" t="s">
        <v>1432</v>
      </c>
    </row>
    <row r="51" customFormat="false" ht="15" hidden="false" customHeight="false" outlineLevel="0" collapsed="false">
      <c r="A51" s="0" t="s">
        <v>1465</v>
      </c>
      <c r="B51" s="0" t="s">
        <v>1466</v>
      </c>
      <c r="C51" s="1" t="s">
        <v>1467</v>
      </c>
      <c r="D51" s="0" t="s">
        <v>1468</v>
      </c>
      <c r="E51" s="0" t="s">
        <v>1469</v>
      </c>
      <c r="F51" s="0" t="s">
        <v>1470</v>
      </c>
      <c r="G51" s="0" t="s">
        <v>1471</v>
      </c>
      <c r="H51" s="2" t="s">
        <v>1472</v>
      </c>
      <c r="I51" s="2" t="s">
        <v>1473</v>
      </c>
      <c r="J51" s="0" t="s">
        <v>1474</v>
      </c>
      <c r="K51" s="0" t="s">
        <v>1475</v>
      </c>
      <c r="L51" s="0" t="s">
        <v>1476</v>
      </c>
      <c r="M51" s="0" t="s">
        <v>1477</v>
      </c>
      <c r="N51" s="0" t="s">
        <v>1478</v>
      </c>
      <c r="O51" s="0" t="s">
        <v>1479</v>
      </c>
      <c r="P51" s="0" t="s">
        <v>1476</v>
      </c>
      <c r="Q51" s="0" t="s">
        <v>1480</v>
      </c>
      <c r="R51" s="1" t="s">
        <v>1481</v>
      </c>
      <c r="S51" s="0" t="s">
        <v>1482</v>
      </c>
      <c r="T51" s="0" t="s">
        <v>1465</v>
      </c>
      <c r="U51" s="0" t="s">
        <v>1465</v>
      </c>
      <c r="V51" s="0" t="s">
        <v>1465</v>
      </c>
      <c r="W51" s="2" t="s">
        <v>1483</v>
      </c>
      <c r="X51" s="0" t="s">
        <v>1474</v>
      </c>
      <c r="Y51" s="0" t="s">
        <v>1484</v>
      </c>
      <c r="Z51" s="0" t="s">
        <v>1485</v>
      </c>
      <c r="AA51" s="0" t="s">
        <v>1465</v>
      </c>
      <c r="AB51" s="1" t="s">
        <v>1486</v>
      </c>
      <c r="AC51" s="0" t="s">
        <v>1465</v>
      </c>
      <c r="AD51" s="0" t="s">
        <v>1487</v>
      </c>
      <c r="AE51" s="0" t="s">
        <v>1465</v>
      </c>
      <c r="AF51" s="0" t="s">
        <v>1470</v>
      </c>
      <c r="AG51" s="0" t="s">
        <v>1488</v>
      </c>
      <c r="AH51" s="0" t="s">
        <v>1487</v>
      </c>
      <c r="AI51" s="0" t="s">
        <v>1489</v>
      </c>
      <c r="AJ51" s="0" t="s">
        <v>1465</v>
      </c>
      <c r="AK51" s="0" t="s">
        <v>1476</v>
      </c>
      <c r="AL51" s="1" t="s">
        <v>1490</v>
      </c>
      <c r="AM51" s="0" t="s">
        <v>1491</v>
      </c>
      <c r="AN51" s="0" t="s">
        <v>1492</v>
      </c>
      <c r="AO51" s="0" t="s">
        <v>1493</v>
      </c>
      <c r="AP51" s="1" t="s">
        <v>1494</v>
      </c>
      <c r="AQ51" s="0" t="s">
        <v>1470</v>
      </c>
    </row>
    <row r="52" customFormat="false" ht="15" hidden="false" customHeight="false" outlineLevel="0" collapsed="false">
      <c r="A52" s="0" t="s">
        <v>1495</v>
      </c>
      <c r="B52" s="0" t="s">
        <v>1496</v>
      </c>
      <c r="C52" s="1" t="s">
        <v>1497</v>
      </c>
      <c r="D52" s="0" t="s">
        <v>1498</v>
      </c>
      <c r="E52" s="0" t="s">
        <v>1499</v>
      </c>
      <c r="F52" s="0" t="s">
        <v>1500</v>
      </c>
      <c r="G52" s="0" t="s">
        <v>1501</v>
      </c>
      <c r="H52" s="2" t="s">
        <v>1502</v>
      </c>
      <c r="I52" s="2" t="s">
        <v>1503</v>
      </c>
      <c r="J52" s="0" t="s">
        <v>1504</v>
      </c>
      <c r="K52" s="0" t="s">
        <v>1505</v>
      </c>
      <c r="L52" s="0" t="s">
        <v>1495</v>
      </c>
      <c r="M52" s="0" t="s">
        <v>1495</v>
      </c>
      <c r="N52" s="0" t="s">
        <v>1506</v>
      </c>
      <c r="O52" s="0" t="s">
        <v>1507</v>
      </c>
      <c r="P52" s="0" t="s">
        <v>1508</v>
      </c>
      <c r="Q52" s="0" t="s">
        <v>1509</v>
      </c>
      <c r="R52" s="1" t="s">
        <v>1510</v>
      </c>
      <c r="S52" s="0" t="s">
        <v>1495</v>
      </c>
      <c r="T52" s="0" t="s">
        <v>1511</v>
      </c>
      <c r="U52" s="0" t="s">
        <v>1495</v>
      </c>
      <c r="V52" s="0" t="s">
        <v>1495</v>
      </c>
      <c r="W52" s="2" t="s">
        <v>1512</v>
      </c>
      <c r="X52" s="0" t="s">
        <v>1504</v>
      </c>
      <c r="Y52" s="0" t="s">
        <v>1513</v>
      </c>
      <c r="Z52" s="0" t="s">
        <v>1514</v>
      </c>
      <c r="AA52" s="0" t="s">
        <v>1495</v>
      </c>
      <c r="AB52" s="1" t="s">
        <v>1515</v>
      </c>
      <c r="AC52" s="0" t="s">
        <v>1511</v>
      </c>
      <c r="AD52" s="0" t="s">
        <v>1516</v>
      </c>
      <c r="AE52" s="0" t="s">
        <v>1517</v>
      </c>
      <c r="AF52" s="0" t="s">
        <v>1500</v>
      </c>
      <c r="AG52" s="0" t="s">
        <v>1513</v>
      </c>
      <c r="AH52" s="0" t="s">
        <v>1511</v>
      </c>
      <c r="AI52" s="0" t="s">
        <v>1504</v>
      </c>
      <c r="AJ52" s="0" t="s">
        <v>1495</v>
      </c>
      <c r="AK52" s="0" t="s">
        <v>1495</v>
      </c>
      <c r="AL52" s="1" t="s">
        <v>1518</v>
      </c>
      <c r="AM52" s="0" t="s">
        <v>1519</v>
      </c>
      <c r="AN52" s="0" t="s">
        <v>1495</v>
      </c>
      <c r="AO52" s="0" t="s">
        <v>1520</v>
      </c>
      <c r="AP52" s="1" t="s">
        <v>1521</v>
      </c>
      <c r="AQ52" s="0" t="s">
        <v>1500</v>
      </c>
    </row>
    <row r="53" customFormat="false" ht="15" hidden="false" customHeight="false" outlineLevel="0" collapsed="false">
      <c r="A53" s="0" t="s">
        <v>1522</v>
      </c>
      <c r="B53" s="0" t="s">
        <v>1523</v>
      </c>
      <c r="C53" s="1" t="s">
        <v>1524</v>
      </c>
      <c r="D53" s="0" t="s">
        <v>1525</v>
      </c>
      <c r="E53" s="0" t="s">
        <v>1526</v>
      </c>
      <c r="F53" s="0" t="s">
        <v>1527</v>
      </c>
      <c r="G53" s="0" t="s">
        <v>1528</v>
      </c>
      <c r="H53" s="2" t="s">
        <v>1529</v>
      </c>
      <c r="I53" s="2" t="s">
        <v>1530</v>
      </c>
      <c r="J53" s="0" t="s">
        <v>1531</v>
      </c>
      <c r="K53" s="0" t="s">
        <v>1532</v>
      </c>
      <c r="L53" s="0" t="s">
        <v>1533</v>
      </c>
      <c r="M53" s="0" t="s">
        <v>1534</v>
      </c>
      <c r="N53" s="0" t="s">
        <v>1535</v>
      </c>
      <c r="O53" s="0" t="s">
        <v>1536</v>
      </c>
      <c r="P53" s="0" t="s">
        <v>1537</v>
      </c>
      <c r="Q53" s="0" t="s">
        <v>1538</v>
      </c>
      <c r="R53" s="1" t="s">
        <v>1539</v>
      </c>
      <c r="S53" s="0" t="s">
        <v>1540</v>
      </c>
      <c r="T53" s="0" t="s">
        <v>1522</v>
      </c>
      <c r="U53" s="0" t="s">
        <v>1522</v>
      </c>
      <c r="V53" s="0" t="s">
        <v>1541</v>
      </c>
      <c r="W53" s="2" t="s">
        <v>1542</v>
      </c>
      <c r="X53" s="0" t="s">
        <v>1543</v>
      </c>
      <c r="Y53" s="0" t="s">
        <v>1544</v>
      </c>
      <c r="Z53" s="0" t="s">
        <v>1526</v>
      </c>
      <c r="AA53" s="0" t="s">
        <v>1533</v>
      </c>
      <c r="AB53" s="1" t="s">
        <v>1545</v>
      </c>
      <c r="AC53" s="0" t="s">
        <v>1546</v>
      </c>
      <c r="AD53" s="0" t="s">
        <v>1528</v>
      </c>
      <c r="AE53" s="0" t="s">
        <v>1547</v>
      </c>
      <c r="AF53" s="0" t="s">
        <v>1527</v>
      </c>
      <c r="AG53" s="0" t="s">
        <v>1544</v>
      </c>
      <c r="AH53" s="0" t="s">
        <v>1532</v>
      </c>
      <c r="AI53" s="0" t="s">
        <v>1531</v>
      </c>
      <c r="AJ53" s="0" t="s">
        <v>1528</v>
      </c>
      <c r="AK53" s="0" t="s">
        <v>1533</v>
      </c>
      <c r="AL53" s="1" t="s">
        <v>1548</v>
      </c>
      <c r="AM53" s="0" t="s">
        <v>1526</v>
      </c>
      <c r="AN53" s="0" t="s">
        <v>1549</v>
      </c>
      <c r="AO53" s="0" t="s">
        <v>1550</v>
      </c>
      <c r="AP53" s="1" t="s">
        <v>1551</v>
      </c>
      <c r="AQ53" s="0" t="s">
        <v>1527</v>
      </c>
    </row>
    <row r="54" customFormat="false" ht="15" hidden="false" customHeight="false" outlineLevel="0" collapsed="false">
      <c r="A54" s="0" t="s">
        <v>1552</v>
      </c>
      <c r="B54" s="0" t="s">
        <v>1553</v>
      </c>
      <c r="C54" s="1" t="s">
        <v>1554</v>
      </c>
      <c r="D54" s="0" t="s">
        <v>1555</v>
      </c>
      <c r="E54" s="0" t="s">
        <v>1556</v>
      </c>
      <c r="F54" s="0" t="s">
        <v>1557</v>
      </c>
      <c r="G54" s="0" t="s">
        <v>1558</v>
      </c>
      <c r="H54" s="2" t="s">
        <v>1559</v>
      </c>
      <c r="I54" s="2" t="s">
        <v>1559</v>
      </c>
      <c r="J54" s="0" t="s">
        <v>1560</v>
      </c>
      <c r="K54" s="0" t="s">
        <v>1561</v>
      </c>
      <c r="L54" s="0" t="s">
        <v>1562</v>
      </c>
      <c r="M54" s="0" t="s">
        <v>1563</v>
      </c>
      <c r="N54" s="0" t="s">
        <v>1564</v>
      </c>
      <c r="O54" s="0" t="s">
        <v>1565</v>
      </c>
      <c r="P54" s="0" t="s">
        <v>1566</v>
      </c>
      <c r="Q54" s="0" t="s">
        <v>1567</v>
      </c>
      <c r="R54" s="1" t="s">
        <v>1568</v>
      </c>
      <c r="S54" s="0" t="s">
        <v>1569</v>
      </c>
      <c r="T54" s="0" t="s">
        <v>1570</v>
      </c>
      <c r="U54" s="0" t="s">
        <v>1571</v>
      </c>
      <c r="V54" s="0" t="s">
        <v>1572</v>
      </c>
      <c r="W54" s="2" t="s">
        <v>1573</v>
      </c>
      <c r="X54" s="0" t="s">
        <v>1574</v>
      </c>
      <c r="Y54" s="0" t="s">
        <v>1575</v>
      </c>
      <c r="Z54" s="0" t="s">
        <v>1576</v>
      </c>
      <c r="AA54" s="0" t="s">
        <v>1562</v>
      </c>
      <c r="AB54" s="1" t="s">
        <v>1577</v>
      </c>
      <c r="AC54" s="0" t="s">
        <v>1578</v>
      </c>
      <c r="AD54" s="0" t="s">
        <v>1579</v>
      </c>
      <c r="AE54" s="0" t="s">
        <v>1580</v>
      </c>
      <c r="AF54" s="0" t="s">
        <v>1557</v>
      </c>
      <c r="AG54" s="0" t="s">
        <v>1575</v>
      </c>
      <c r="AH54" s="0" t="s">
        <v>1561</v>
      </c>
      <c r="AI54" s="0" t="s">
        <v>1560</v>
      </c>
      <c r="AJ54" s="0" t="s">
        <v>1581</v>
      </c>
      <c r="AK54" s="0" t="s">
        <v>1562</v>
      </c>
      <c r="AL54" s="1" t="s">
        <v>1582</v>
      </c>
      <c r="AM54" s="0" t="s">
        <v>1556</v>
      </c>
      <c r="AN54" s="0" t="s">
        <v>1583</v>
      </c>
      <c r="AO54" s="0" t="s">
        <v>1584</v>
      </c>
      <c r="AP54" s="1" t="s">
        <v>1585</v>
      </c>
      <c r="AQ54" s="0" t="s">
        <v>1557</v>
      </c>
    </row>
    <row r="55" customFormat="false" ht="15" hidden="false" customHeight="false" outlineLevel="0" collapsed="false">
      <c r="A55" s="0" t="s">
        <v>1586</v>
      </c>
      <c r="B55" s="0" t="s">
        <v>1587</v>
      </c>
      <c r="C55" s="1" t="s">
        <v>1588</v>
      </c>
      <c r="D55" s="0" t="s">
        <v>1589</v>
      </c>
      <c r="E55" s="0" t="s">
        <v>1586</v>
      </c>
      <c r="F55" s="0" t="s">
        <v>1586</v>
      </c>
      <c r="G55" s="0" t="s">
        <v>1586</v>
      </c>
      <c r="H55" s="2" t="s">
        <v>1590</v>
      </c>
      <c r="I55" s="2" t="s">
        <v>1591</v>
      </c>
      <c r="J55" s="0" t="s">
        <v>1592</v>
      </c>
      <c r="K55" s="0" t="s">
        <v>1592</v>
      </c>
      <c r="L55" s="0" t="s">
        <v>1586</v>
      </c>
      <c r="M55" s="0" t="s">
        <v>1586</v>
      </c>
      <c r="N55" s="0" t="s">
        <v>1586</v>
      </c>
      <c r="O55" s="0" t="s">
        <v>1593</v>
      </c>
      <c r="P55" s="0" t="s">
        <v>1586</v>
      </c>
      <c r="Q55" s="0" t="s">
        <v>1594</v>
      </c>
      <c r="R55" s="1" t="s">
        <v>1595</v>
      </c>
      <c r="S55" s="0" t="s">
        <v>1586</v>
      </c>
      <c r="T55" s="0" t="s">
        <v>1596</v>
      </c>
      <c r="U55" s="0" t="s">
        <v>1586</v>
      </c>
      <c r="V55" s="0" t="s">
        <v>1597</v>
      </c>
      <c r="W55" s="2" t="s">
        <v>1598</v>
      </c>
      <c r="X55" s="0" t="s">
        <v>1596</v>
      </c>
      <c r="Y55" s="0" t="s">
        <v>1599</v>
      </c>
      <c r="Z55" s="0" t="s">
        <v>1586</v>
      </c>
      <c r="AA55" s="0" t="s">
        <v>1586</v>
      </c>
      <c r="AB55" s="1" t="s">
        <v>1600</v>
      </c>
      <c r="AC55" s="0" t="s">
        <v>1601</v>
      </c>
      <c r="AD55" s="0" t="s">
        <v>1586</v>
      </c>
      <c r="AE55" s="0" t="s">
        <v>1586</v>
      </c>
      <c r="AF55" s="0" t="s">
        <v>1602</v>
      </c>
      <c r="AG55" s="0" t="s">
        <v>1603</v>
      </c>
      <c r="AH55" s="0" t="s">
        <v>1592</v>
      </c>
      <c r="AI55" s="0" t="s">
        <v>1586</v>
      </c>
      <c r="AJ55" s="0" t="s">
        <v>1586</v>
      </c>
      <c r="AK55" s="0" t="s">
        <v>1604</v>
      </c>
      <c r="AL55" s="1" t="s">
        <v>1605</v>
      </c>
      <c r="AM55" s="0" t="s">
        <v>1592</v>
      </c>
      <c r="AN55" s="0" t="s">
        <v>1586</v>
      </c>
      <c r="AO55" s="0" t="s">
        <v>1606</v>
      </c>
      <c r="AP55" s="1" t="s">
        <v>1607</v>
      </c>
      <c r="AQ55" s="0" t="s">
        <v>1599</v>
      </c>
    </row>
    <row r="56" customFormat="false" ht="15" hidden="false" customHeight="false" outlineLevel="0" collapsed="false">
      <c r="A56" s="0" t="s">
        <v>1608</v>
      </c>
      <c r="B56" s="0" t="s">
        <v>1609</v>
      </c>
      <c r="C56" s="1" t="s">
        <v>1610</v>
      </c>
      <c r="D56" s="0" t="s">
        <v>1611</v>
      </c>
      <c r="E56" s="0" t="s">
        <v>1612</v>
      </c>
      <c r="F56" s="0" t="s">
        <v>1613</v>
      </c>
      <c r="G56" s="0" t="s">
        <v>1614</v>
      </c>
      <c r="H56" s="2" t="s">
        <v>1615</v>
      </c>
      <c r="I56" s="2" t="s">
        <v>1615</v>
      </c>
      <c r="J56" s="0" t="s">
        <v>1608</v>
      </c>
      <c r="K56" s="0" t="s">
        <v>1616</v>
      </c>
      <c r="L56" s="0" t="s">
        <v>1608</v>
      </c>
      <c r="M56" s="0" t="s">
        <v>1608</v>
      </c>
      <c r="N56" s="0" t="s">
        <v>1617</v>
      </c>
      <c r="O56" s="0" t="s">
        <v>1618</v>
      </c>
      <c r="P56" s="0" t="s">
        <v>1608</v>
      </c>
      <c r="Q56" s="0" t="s">
        <v>1619</v>
      </c>
      <c r="R56" s="1" t="s">
        <v>1620</v>
      </c>
      <c r="S56" s="0" t="s">
        <v>1621</v>
      </c>
      <c r="T56" s="0" t="s">
        <v>1622</v>
      </c>
      <c r="U56" s="0" t="s">
        <v>1608</v>
      </c>
      <c r="V56" s="0" t="s">
        <v>1623</v>
      </c>
      <c r="W56" s="2" t="s">
        <v>1624</v>
      </c>
      <c r="X56" s="0" t="s">
        <v>1625</v>
      </c>
      <c r="Y56" s="0" t="s">
        <v>1626</v>
      </c>
      <c r="Z56" s="0" t="s">
        <v>1627</v>
      </c>
      <c r="AA56" s="0" t="s">
        <v>1608</v>
      </c>
      <c r="AB56" s="1" t="s">
        <v>1628</v>
      </c>
      <c r="AC56" s="0" t="s">
        <v>1609</v>
      </c>
      <c r="AD56" s="0" t="s">
        <v>1629</v>
      </c>
      <c r="AE56" s="0" t="s">
        <v>1609</v>
      </c>
      <c r="AF56" s="0" t="s">
        <v>1613</v>
      </c>
      <c r="AG56" s="0" t="s">
        <v>1608</v>
      </c>
      <c r="AH56" s="0" t="s">
        <v>1616</v>
      </c>
      <c r="AI56" s="0" t="s">
        <v>1630</v>
      </c>
      <c r="AJ56" s="0" t="s">
        <v>1631</v>
      </c>
      <c r="AK56" s="0" t="s">
        <v>1608</v>
      </c>
      <c r="AL56" s="1" t="s">
        <v>1632</v>
      </c>
      <c r="AM56" s="0" t="s">
        <v>1633</v>
      </c>
      <c r="AN56" s="0" t="s">
        <v>1634</v>
      </c>
      <c r="AO56" s="0" t="s">
        <v>1635</v>
      </c>
      <c r="AP56" s="1" t="s">
        <v>1636</v>
      </c>
      <c r="AQ56" s="0" t="s">
        <v>1613</v>
      </c>
    </row>
    <row r="57" customFormat="false" ht="15" hidden="false" customHeight="false" outlineLevel="0" collapsed="false">
      <c r="A57" s="0" t="s">
        <v>1637</v>
      </c>
      <c r="B57" s="0" t="s">
        <v>1638</v>
      </c>
      <c r="C57" s="1" t="s">
        <v>1639</v>
      </c>
      <c r="D57" s="0" t="s">
        <v>1640</v>
      </c>
      <c r="E57" s="0" t="s">
        <v>1641</v>
      </c>
      <c r="F57" s="0" t="s">
        <v>1642</v>
      </c>
      <c r="G57" s="0" t="s">
        <v>1643</v>
      </c>
      <c r="H57" s="2" t="s">
        <v>1644</v>
      </c>
      <c r="I57" s="2" t="s">
        <v>1645</v>
      </c>
      <c r="J57" s="0" t="s">
        <v>1646</v>
      </c>
      <c r="K57" s="0" t="s">
        <v>1646</v>
      </c>
      <c r="L57" s="0" t="s">
        <v>1646</v>
      </c>
      <c r="M57" s="0" t="s">
        <v>1647</v>
      </c>
      <c r="N57" s="0" t="s">
        <v>1648</v>
      </c>
      <c r="O57" s="0" t="s">
        <v>1649</v>
      </c>
      <c r="P57" s="0" t="s">
        <v>1646</v>
      </c>
      <c r="Q57" s="0" t="s">
        <v>1650</v>
      </c>
      <c r="R57" s="1" t="s">
        <v>1651</v>
      </c>
      <c r="S57" s="0" t="s">
        <v>1652</v>
      </c>
      <c r="T57" s="0" t="s">
        <v>1653</v>
      </c>
      <c r="U57" s="0" t="s">
        <v>1654</v>
      </c>
      <c r="V57" s="0" t="s">
        <v>1655</v>
      </c>
      <c r="W57" s="2" t="s">
        <v>1656</v>
      </c>
      <c r="X57" s="0" t="s">
        <v>1657</v>
      </c>
      <c r="Y57" s="0" t="s">
        <v>1658</v>
      </c>
      <c r="Z57" s="0" t="s">
        <v>1655</v>
      </c>
      <c r="AA57" s="0" t="s">
        <v>1646</v>
      </c>
      <c r="AB57" s="1" t="s">
        <v>1659</v>
      </c>
      <c r="AC57" s="0" t="s">
        <v>1653</v>
      </c>
      <c r="AD57" s="0" t="s">
        <v>1660</v>
      </c>
      <c r="AE57" s="0" t="s">
        <v>1655</v>
      </c>
      <c r="AF57" s="0" t="s">
        <v>1642</v>
      </c>
      <c r="AG57" s="0" t="s">
        <v>1658</v>
      </c>
      <c r="AH57" s="0" t="s">
        <v>1646</v>
      </c>
      <c r="AI57" s="0" t="s">
        <v>1657</v>
      </c>
      <c r="AJ57" s="0" t="s">
        <v>1653</v>
      </c>
      <c r="AK57" s="0" t="s">
        <v>1646</v>
      </c>
      <c r="AL57" s="1" t="s">
        <v>1661</v>
      </c>
      <c r="AM57" s="0" t="s">
        <v>1662</v>
      </c>
      <c r="AN57" s="0" t="s">
        <v>1637</v>
      </c>
      <c r="AO57" s="0" t="s">
        <v>1663</v>
      </c>
      <c r="AP57" s="1" t="s">
        <v>1664</v>
      </c>
      <c r="AQ57" s="0" t="s">
        <v>1642</v>
      </c>
    </row>
    <row r="58" customFormat="false" ht="15" hidden="false" customHeight="false" outlineLevel="0" collapsed="false">
      <c r="A58" s="0" t="s">
        <v>1665</v>
      </c>
      <c r="B58" s="0" t="s">
        <v>1665</v>
      </c>
      <c r="C58" s="1" t="s">
        <v>1666</v>
      </c>
      <c r="D58" s="0" t="s">
        <v>1667</v>
      </c>
      <c r="E58" s="0" t="s">
        <v>1668</v>
      </c>
      <c r="F58" s="0" t="s">
        <v>1669</v>
      </c>
      <c r="G58" s="0" t="s">
        <v>1665</v>
      </c>
      <c r="H58" s="2" t="s">
        <v>1670</v>
      </c>
      <c r="I58" s="2" t="s">
        <v>1671</v>
      </c>
      <c r="J58" s="0" t="s">
        <v>1665</v>
      </c>
      <c r="K58" s="0" t="s">
        <v>1665</v>
      </c>
      <c r="L58" s="0" t="s">
        <v>1665</v>
      </c>
      <c r="M58" s="0" t="s">
        <v>1665</v>
      </c>
      <c r="N58" s="0" t="s">
        <v>1672</v>
      </c>
      <c r="O58" s="0" t="s">
        <v>1673</v>
      </c>
      <c r="P58" s="0" t="s">
        <v>1665</v>
      </c>
      <c r="Q58" s="0" t="s">
        <v>1674</v>
      </c>
      <c r="R58" s="1" t="s">
        <v>1675</v>
      </c>
      <c r="S58" s="0" t="s">
        <v>1676</v>
      </c>
      <c r="T58" s="0" t="s">
        <v>1677</v>
      </c>
      <c r="U58" s="0" t="s">
        <v>1665</v>
      </c>
      <c r="V58" s="0" t="s">
        <v>1665</v>
      </c>
      <c r="W58" s="2" t="s">
        <v>1678</v>
      </c>
      <c r="X58" s="0" t="s">
        <v>1679</v>
      </c>
      <c r="Y58" s="0" t="s">
        <v>1669</v>
      </c>
      <c r="Z58" s="0" t="s">
        <v>1677</v>
      </c>
      <c r="AA58" s="0" t="s">
        <v>1665</v>
      </c>
      <c r="AB58" s="1" t="s">
        <v>1680</v>
      </c>
      <c r="AC58" s="0" t="s">
        <v>1665</v>
      </c>
      <c r="AD58" s="0" t="s">
        <v>1665</v>
      </c>
      <c r="AE58" s="0" t="s">
        <v>1665</v>
      </c>
      <c r="AF58" s="0" t="s">
        <v>1669</v>
      </c>
      <c r="AG58" s="0" t="s">
        <v>1681</v>
      </c>
      <c r="AH58" s="0" t="s">
        <v>1665</v>
      </c>
      <c r="AI58" s="0" t="s">
        <v>1665</v>
      </c>
      <c r="AJ58" s="0" t="s">
        <v>1665</v>
      </c>
      <c r="AK58" s="0" t="s">
        <v>1665</v>
      </c>
      <c r="AL58" s="1" t="s">
        <v>1682</v>
      </c>
      <c r="AM58" s="0" t="s">
        <v>1665</v>
      </c>
      <c r="AN58" s="0" t="s">
        <v>1665</v>
      </c>
      <c r="AO58" s="0" t="s">
        <v>1669</v>
      </c>
      <c r="AP58" s="1" t="s">
        <v>1683</v>
      </c>
      <c r="AQ58" s="0" t="s">
        <v>1669</v>
      </c>
    </row>
    <row r="59" customFormat="false" ht="15" hidden="false" customHeight="false" outlineLevel="0" collapsed="false">
      <c r="A59" s="0" t="s">
        <v>1684</v>
      </c>
      <c r="B59" s="0" t="s">
        <v>1685</v>
      </c>
      <c r="C59" s="1" t="s">
        <v>1686</v>
      </c>
      <c r="D59" s="0" t="s">
        <v>1687</v>
      </c>
      <c r="E59" s="0" t="s">
        <v>1688</v>
      </c>
      <c r="F59" s="0" t="s">
        <v>1689</v>
      </c>
      <c r="G59" s="0" t="s">
        <v>1690</v>
      </c>
      <c r="H59" s="2" t="s">
        <v>1691</v>
      </c>
      <c r="I59" s="2" t="s">
        <v>1691</v>
      </c>
      <c r="J59" s="0" t="s">
        <v>1688</v>
      </c>
      <c r="K59" s="0" t="s">
        <v>1692</v>
      </c>
      <c r="L59" s="0" t="s">
        <v>1693</v>
      </c>
      <c r="M59" s="0" t="s">
        <v>1694</v>
      </c>
      <c r="N59" s="0" t="s">
        <v>1695</v>
      </c>
      <c r="O59" s="0" t="s">
        <v>1696</v>
      </c>
      <c r="P59" s="0" t="s">
        <v>1693</v>
      </c>
      <c r="Q59" s="0" t="s">
        <v>1697</v>
      </c>
      <c r="R59" s="1" t="s">
        <v>1698</v>
      </c>
      <c r="S59" s="0" t="s">
        <v>1699</v>
      </c>
      <c r="T59" s="0" t="s">
        <v>1684</v>
      </c>
      <c r="U59" s="0" t="s">
        <v>1700</v>
      </c>
      <c r="V59" s="0" t="s">
        <v>1684</v>
      </c>
      <c r="W59" s="2" t="s">
        <v>1701</v>
      </c>
      <c r="X59" s="0" t="s">
        <v>1702</v>
      </c>
      <c r="Y59" s="0" t="s">
        <v>1689</v>
      </c>
      <c r="Z59" s="0" t="s">
        <v>1703</v>
      </c>
      <c r="AA59" s="0" t="s">
        <v>1684</v>
      </c>
      <c r="AB59" s="1" t="s">
        <v>1686</v>
      </c>
      <c r="AC59" s="0" t="s">
        <v>1704</v>
      </c>
      <c r="AD59" s="0" t="s">
        <v>1690</v>
      </c>
      <c r="AE59" s="0" t="s">
        <v>1684</v>
      </c>
      <c r="AF59" s="0" t="s">
        <v>1689</v>
      </c>
      <c r="AG59" s="0" t="s">
        <v>1689</v>
      </c>
      <c r="AH59" s="0" t="s">
        <v>1692</v>
      </c>
      <c r="AI59" s="0" t="s">
        <v>1705</v>
      </c>
      <c r="AJ59" s="0" t="s">
        <v>1706</v>
      </c>
      <c r="AK59" s="0" t="s">
        <v>1707</v>
      </c>
      <c r="AL59" s="1" t="s">
        <v>1708</v>
      </c>
      <c r="AM59" s="0" t="s">
        <v>1709</v>
      </c>
      <c r="AN59" s="0" t="s">
        <v>1684</v>
      </c>
      <c r="AO59" s="0" t="s">
        <v>1710</v>
      </c>
      <c r="AP59" s="1" t="s">
        <v>1711</v>
      </c>
      <c r="AQ59" s="0" t="s">
        <v>1689</v>
      </c>
    </row>
    <row r="60" customFormat="false" ht="15" hidden="false" customHeight="false" outlineLevel="0" collapsed="false">
      <c r="A60" s="0" t="s">
        <v>1712</v>
      </c>
      <c r="B60" s="0" t="s">
        <v>1713</v>
      </c>
      <c r="C60" s="1" t="s">
        <v>1714</v>
      </c>
      <c r="D60" s="0" t="s">
        <v>1715</v>
      </c>
      <c r="E60" s="0" t="s">
        <v>1716</v>
      </c>
      <c r="F60" s="0" t="s">
        <v>1717</v>
      </c>
      <c r="G60" s="0" t="s">
        <v>1718</v>
      </c>
      <c r="H60" s="2" t="s">
        <v>1719</v>
      </c>
      <c r="I60" s="2" t="s">
        <v>1719</v>
      </c>
      <c r="J60" s="0" t="s">
        <v>1720</v>
      </c>
      <c r="K60" s="0" t="s">
        <v>1712</v>
      </c>
      <c r="L60" s="0" t="s">
        <v>1721</v>
      </c>
      <c r="M60" s="0" t="s">
        <v>1722</v>
      </c>
      <c r="N60" s="0" t="s">
        <v>1722</v>
      </c>
      <c r="O60" s="0" t="s">
        <v>1723</v>
      </c>
      <c r="P60" s="0" t="s">
        <v>1724</v>
      </c>
      <c r="Q60" s="0" t="s">
        <v>1725</v>
      </c>
      <c r="R60" s="1" t="s">
        <v>1726</v>
      </c>
      <c r="S60" s="0" t="s">
        <v>1727</v>
      </c>
      <c r="T60" s="0" t="s">
        <v>1728</v>
      </c>
      <c r="U60" s="0" t="s">
        <v>1729</v>
      </c>
      <c r="V60" s="0" t="s">
        <v>1730</v>
      </c>
      <c r="W60" s="2" t="s">
        <v>1731</v>
      </c>
      <c r="X60" s="0" t="s">
        <v>1732</v>
      </c>
      <c r="Y60" s="0" t="s">
        <v>1717</v>
      </c>
      <c r="Z60" s="0" t="s">
        <v>1733</v>
      </c>
      <c r="AA60" s="0" t="s">
        <v>1712</v>
      </c>
      <c r="AB60" s="1" t="s">
        <v>1714</v>
      </c>
      <c r="AC60" s="0" t="s">
        <v>1734</v>
      </c>
      <c r="AD60" s="0" t="s">
        <v>1735</v>
      </c>
      <c r="AE60" s="0" t="s">
        <v>1734</v>
      </c>
      <c r="AF60" s="0" t="s">
        <v>1717</v>
      </c>
      <c r="AG60" s="0" t="s">
        <v>1736</v>
      </c>
      <c r="AH60" s="0" t="s">
        <v>1712</v>
      </c>
      <c r="AI60" s="0" t="s">
        <v>1734</v>
      </c>
      <c r="AJ60" s="0" t="s">
        <v>1737</v>
      </c>
      <c r="AK60" s="0" t="s">
        <v>1721</v>
      </c>
      <c r="AL60" s="1" t="s">
        <v>1738</v>
      </c>
      <c r="AM60" s="0" t="s">
        <v>1739</v>
      </c>
      <c r="AN60" s="0" t="s">
        <v>1740</v>
      </c>
      <c r="AO60" s="0" t="s">
        <v>1741</v>
      </c>
      <c r="AP60" s="1" t="s">
        <v>1714</v>
      </c>
      <c r="AQ60" s="0" t="s">
        <v>1717</v>
      </c>
    </row>
    <row r="61" customFormat="false" ht="15" hidden="false" customHeight="false" outlineLevel="0" collapsed="false">
      <c r="A61" s="0" t="s">
        <v>1742</v>
      </c>
      <c r="B61" s="0" t="s">
        <v>1742</v>
      </c>
      <c r="C61" s="1" t="s">
        <v>1743</v>
      </c>
      <c r="D61" s="0" t="s">
        <v>1744</v>
      </c>
      <c r="E61" s="0" t="s">
        <v>1745</v>
      </c>
      <c r="F61" s="0" t="s">
        <v>1746</v>
      </c>
      <c r="G61" s="0" t="s">
        <v>1742</v>
      </c>
      <c r="H61" s="2" t="s">
        <v>1747</v>
      </c>
      <c r="I61" s="2" t="s">
        <v>1747</v>
      </c>
      <c r="J61" s="0" t="s">
        <v>1742</v>
      </c>
      <c r="K61" s="0" t="s">
        <v>1748</v>
      </c>
      <c r="L61" s="0" t="s">
        <v>1742</v>
      </c>
      <c r="M61" s="0" t="s">
        <v>1742</v>
      </c>
      <c r="N61" s="0" t="s">
        <v>1742</v>
      </c>
      <c r="O61" s="0" t="s">
        <v>1749</v>
      </c>
      <c r="P61" s="0" t="s">
        <v>1742</v>
      </c>
      <c r="Q61" s="0" t="s">
        <v>1750</v>
      </c>
      <c r="R61" s="1" t="s">
        <v>1751</v>
      </c>
      <c r="S61" s="0" t="s">
        <v>1752</v>
      </c>
      <c r="T61" s="0" t="s">
        <v>1742</v>
      </c>
      <c r="U61" s="0" t="s">
        <v>1753</v>
      </c>
      <c r="V61" s="0" t="s">
        <v>1742</v>
      </c>
      <c r="W61" s="2" t="s">
        <v>1754</v>
      </c>
      <c r="X61" s="0" t="s">
        <v>1755</v>
      </c>
      <c r="Y61" s="0" t="s">
        <v>1746</v>
      </c>
      <c r="Z61" s="0" t="s">
        <v>1742</v>
      </c>
      <c r="AA61" s="0" t="s">
        <v>1742</v>
      </c>
      <c r="AB61" s="1" t="s">
        <v>1756</v>
      </c>
      <c r="AC61" s="0" t="s">
        <v>1742</v>
      </c>
      <c r="AD61" s="0" t="s">
        <v>1757</v>
      </c>
      <c r="AE61" s="0" t="s">
        <v>1742</v>
      </c>
      <c r="AF61" s="0" t="s">
        <v>1746</v>
      </c>
      <c r="AG61" s="0" t="s">
        <v>1746</v>
      </c>
      <c r="AH61" s="0" t="s">
        <v>1752</v>
      </c>
      <c r="AI61" s="0" t="s">
        <v>1742</v>
      </c>
      <c r="AJ61" s="0" t="s">
        <v>1752</v>
      </c>
      <c r="AK61" s="0" t="s">
        <v>1742</v>
      </c>
      <c r="AL61" s="1" t="s">
        <v>1758</v>
      </c>
      <c r="AM61" s="0" t="s">
        <v>1745</v>
      </c>
      <c r="AN61" s="0" t="s">
        <v>1742</v>
      </c>
      <c r="AO61" s="0" t="s">
        <v>1759</v>
      </c>
      <c r="AP61" s="1" t="s">
        <v>1756</v>
      </c>
      <c r="AQ61" s="0" t="s">
        <v>1760</v>
      </c>
    </row>
    <row r="62" customFormat="false" ht="15" hidden="false" customHeight="false" outlineLevel="0" collapsed="false">
      <c r="A62" s="0" t="s">
        <v>1761</v>
      </c>
      <c r="B62" s="0" t="s">
        <v>1762</v>
      </c>
      <c r="C62" s="1" t="s">
        <v>1763</v>
      </c>
      <c r="D62" s="0" t="s">
        <v>1764</v>
      </c>
      <c r="E62" s="0" t="s">
        <v>1765</v>
      </c>
      <c r="F62" s="0" t="s">
        <v>1766</v>
      </c>
      <c r="G62" s="0" t="s">
        <v>1767</v>
      </c>
      <c r="H62" s="2" t="s">
        <v>1768</v>
      </c>
      <c r="I62" s="2" t="s">
        <v>1768</v>
      </c>
      <c r="J62" s="0" t="s">
        <v>1761</v>
      </c>
      <c r="K62" s="0" t="s">
        <v>1769</v>
      </c>
      <c r="L62" s="0" t="s">
        <v>1770</v>
      </c>
      <c r="M62" s="0" t="s">
        <v>1771</v>
      </c>
      <c r="N62" s="0" t="s">
        <v>1772</v>
      </c>
      <c r="O62" s="0" t="s">
        <v>1773</v>
      </c>
      <c r="P62" s="0" t="s">
        <v>1770</v>
      </c>
      <c r="Q62" s="0" t="s">
        <v>1774</v>
      </c>
      <c r="R62" s="1" t="s">
        <v>1775</v>
      </c>
      <c r="S62" s="0" t="s">
        <v>1776</v>
      </c>
      <c r="T62" s="0" t="s">
        <v>1761</v>
      </c>
      <c r="U62" s="0" t="s">
        <v>1777</v>
      </c>
      <c r="V62" s="0" t="s">
        <v>1778</v>
      </c>
      <c r="W62" s="2" t="s">
        <v>1779</v>
      </c>
      <c r="X62" s="0" t="s">
        <v>1780</v>
      </c>
      <c r="Y62" s="0" t="s">
        <v>1781</v>
      </c>
      <c r="Z62" s="0" t="s">
        <v>1782</v>
      </c>
      <c r="AA62" s="0" t="s">
        <v>1767</v>
      </c>
      <c r="AB62" s="1" t="s">
        <v>1783</v>
      </c>
      <c r="AC62" s="0" t="s">
        <v>1784</v>
      </c>
      <c r="AD62" s="0" t="s">
        <v>1767</v>
      </c>
      <c r="AE62" s="0" t="s">
        <v>1785</v>
      </c>
      <c r="AF62" s="0" t="s">
        <v>1766</v>
      </c>
      <c r="AG62" s="0" t="s">
        <v>1761</v>
      </c>
      <c r="AH62" s="0" t="s">
        <v>1776</v>
      </c>
      <c r="AI62" s="0" t="s">
        <v>1780</v>
      </c>
      <c r="AJ62" s="0" t="s">
        <v>1767</v>
      </c>
      <c r="AK62" s="0" t="s">
        <v>1770</v>
      </c>
      <c r="AL62" s="1" t="s">
        <v>1786</v>
      </c>
      <c r="AM62" s="0" t="s">
        <v>1787</v>
      </c>
      <c r="AN62" s="0" t="s">
        <v>1788</v>
      </c>
      <c r="AO62" s="0" t="s">
        <v>1789</v>
      </c>
      <c r="AP62" s="1" t="s">
        <v>1790</v>
      </c>
      <c r="AQ62" s="0" t="s">
        <v>1766</v>
      </c>
    </row>
    <row r="63" customFormat="false" ht="15" hidden="false" customHeight="false" outlineLevel="0" collapsed="false">
      <c r="A63" s="0" t="s">
        <v>1791</v>
      </c>
      <c r="B63" s="0" t="s">
        <v>1792</v>
      </c>
      <c r="C63" s="1" t="s">
        <v>1793</v>
      </c>
      <c r="D63" s="0" t="s">
        <v>1794</v>
      </c>
      <c r="E63" s="0" t="s">
        <v>1795</v>
      </c>
      <c r="F63" s="0" t="s">
        <v>1796</v>
      </c>
      <c r="G63" s="0" t="s">
        <v>1797</v>
      </c>
      <c r="H63" s="2" t="s">
        <v>1798</v>
      </c>
      <c r="I63" s="2" t="s">
        <v>1799</v>
      </c>
      <c r="J63" s="0" t="s">
        <v>1800</v>
      </c>
      <c r="K63" s="0" t="s">
        <v>1801</v>
      </c>
      <c r="L63" s="0" t="s">
        <v>1802</v>
      </c>
      <c r="M63" s="0" t="s">
        <v>1803</v>
      </c>
      <c r="N63" s="0" t="s">
        <v>1804</v>
      </c>
      <c r="O63" s="0" t="s">
        <v>1805</v>
      </c>
      <c r="P63" s="0" t="s">
        <v>1802</v>
      </c>
      <c r="Q63" s="0" t="s">
        <v>1806</v>
      </c>
      <c r="R63" s="1" t="s">
        <v>1807</v>
      </c>
      <c r="S63" s="0" t="s">
        <v>1791</v>
      </c>
      <c r="T63" s="0" t="s">
        <v>1808</v>
      </c>
      <c r="U63" s="0" t="s">
        <v>1791</v>
      </c>
      <c r="V63" s="0" t="s">
        <v>1809</v>
      </c>
      <c r="W63" s="2" t="s">
        <v>1810</v>
      </c>
      <c r="X63" s="0" t="s">
        <v>1800</v>
      </c>
      <c r="Y63" s="0" t="s">
        <v>1811</v>
      </c>
      <c r="Z63" s="0" t="s">
        <v>1812</v>
      </c>
      <c r="AA63" s="0" t="s">
        <v>1808</v>
      </c>
      <c r="AB63" s="1" t="s">
        <v>1813</v>
      </c>
      <c r="AC63" s="0" t="s">
        <v>1808</v>
      </c>
      <c r="AD63" s="0" t="s">
        <v>1814</v>
      </c>
      <c r="AE63" s="0" t="s">
        <v>1808</v>
      </c>
      <c r="AF63" s="0" t="s">
        <v>1815</v>
      </c>
      <c r="AG63" s="0" t="s">
        <v>1816</v>
      </c>
      <c r="AH63" s="0" t="s">
        <v>1817</v>
      </c>
      <c r="AI63" s="0" t="s">
        <v>1800</v>
      </c>
      <c r="AJ63" s="0" t="s">
        <v>1814</v>
      </c>
      <c r="AK63" s="0" t="s">
        <v>1802</v>
      </c>
      <c r="AL63" s="1" t="s">
        <v>1818</v>
      </c>
      <c r="AM63" s="0" t="s">
        <v>1795</v>
      </c>
      <c r="AN63" s="0" t="s">
        <v>1819</v>
      </c>
      <c r="AO63" s="0" t="s">
        <v>1820</v>
      </c>
      <c r="AP63" s="1" t="s">
        <v>1821</v>
      </c>
      <c r="AQ63" s="0" t="s">
        <v>1815</v>
      </c>
    </row>
    <row r="64" customFormat="false" ht="15" hidden="false" customHeight="false" outlineLevel="0" collapsed="false">
      <c r="A64" s="0" t="s">
        <v>1822</v>
      </c>
      <c r="B64" s="0" t="s">
        <v>1823</v>
      </c>
      <c r="C64" s="1" t="s">
        <v>1824</v>
      </c>
      <c r="D64" s="0" t="s">
        <v>1825</v>
      </c>
      <c r="E64" s="0" t="s">
        <v>1826</v>
      </c>
      <c r="F64" s="0" t="s">
        <v>1827</v>
      </c>
      <c r="G64" s="0" t="s">
        <v>1828</v>
      </c>
      <c r="H64" s="2" t="s">
        <v>1829</v>
      </c>
      <c r="I64" s="2" t="s">
        <v>1829</v>
      </c>
      <c r="J64" s="0" t="s">
        <v>1830</v>
      </c>
      <c r="K64" s="0" t="s">
        <v>1830</v>
      </c>
      <c r="L64" s="0" t="s">
        <v>1831</v>
      </c>
      <c r="M64" s="0" t="s">
        <v>1831</v>
      </c>
      <c r="N64" s="0" t="s">
        <v>1832</v>
      </c>
      <c r="O64" s="0" t="s">
        <v>1833</v>
      </c>
      <c r="P64" s="0" t="s">
        <v>1831</v>
      </c>
      <c r="Q64" s="0" t="s">
        <v>1834</v>
      </c>
      <c r="R64" s="1" t="s">
        <v>1835</v>
      </c>
      <c r="S64" s="0" t="s">
        <v>1836</v>
      </c>
      <c r="T64" s="0" t="s">
        <v>1830</v>
      </c>
      <c r="U64" s="0" t="s">
        <v>1836</v>
      </c>
      <c r="V64" s="0" t="s">
        <v>1837</v>
      </c>
      <c r="W64" s="2" t="s">
        <v>1838</v>
      </c>
      <c r="X64" s="0" t="s">
        <v>1839</v>
      </c>
      <c r="Y64" s="0" t="s">
        <v>1827</v>
      </c>
      <c r="Z64" s="0" t="s">
        <v>1840</v>
      </c>
      <c r="AA64" s="0" t="s">
        <v>1831</v>
      </c>
      <c r="AB64" s="1" t="s">
        <v>1841</v>
      </c>
      <c r="AC64" s="0" t="s">
        <v>1830</v>
      </c>
      <c r="AD64" s="0" t="s">
        <v>1842</v>
      </c>
      <c r="AE64" s="0" t="s">
        <v>1832</v>
      </c>
      <c r="AF64" s="0" t="s">
        <v>1843</v>
      </c>
      <c r="AG64" s="0" t="s">
        <v>1827</v>
      </c>
      <c r="AH64" s="0" t="s">
        <v>1830</v>
      </c>
      <c r="AI64" s="0" t="s">
        <v>1830</v>
      </c>
      <c r="AJ64" s="0" t="s">
        <v>1844</v>
      </c>
      <c r="AK64" s="0" t="s">
        <v>1845</v>
      </c>
      <c r="AL64" s="1" t="s">
        <v>1846</v>
      </c>
      <c r="AM64" s="0" t="s">
        <v>1847</v>
      </c>
      <c r="AN64" s="0" t="s">
        <v>1822</v>
      </c>
      <c r="AO64" s="0" t="s">
        <v>1843</v>
      </c>
      <c r="AP64" s="1" t="s">
        <v>1841</v>
      </c>
      <c r="AQ64" s="0" t="s">
        <v>1843</v>
      </c>
    </row>
    <row r="65" customFormat="false" ht="15" hidden="false" customHeight="false" outlineLevel="0" collapsed="false">
      <c r="A65" s="0" t="s">
        <v>1848</v>
      </c>
      <c r="B65" s="0" t="s">
        <v>1849</v>
      </c>
      <c r="C65" s="1" t="s">
        <v>1850</v>
      </c>
      <c r="D65" s="0" t="s">
        <v>1851</v>
      </c>
      <c r="E65" s="0" t="s">
        <v>1852</v>
      </c>
      <c r="F65" s="0" t="s">
        <v>1853</v>
      </c>
      <c r="G65" s="0" t="s">
        <v>1848</v>
      </c>
      <c r="H65" s="2" t="s">
        <v>1854</v>
      </c>
      <c r="I65" s="2" t="s">
        <v>1854</v>
      </c>
      <c r="J65" s="0" t="s">
        <v>1855</v>
      </c>
      <c r="K65" s="0" t="s">
        <v>1856</v>
      </c>
      <c r="L65" s="0" t="s">
        <v>1848</v>
      </c>
      <c r="M65" s="0" t="s">
        <v>1848</v>
      </c>
      <c r="N65" s="0" t="s">
        <v>1848</v>
      </c>
      <c r="O65" s="0" t="s">
        <v>1857</v>
      </c>
      <c r="P65" s="0" t="s">
        <v>1848</v>
      </c>
      <c r="Q65" s="0" t="s">
        <v>1858</v>
      </c>
      <c r="R65" s="1" t="s">
        <v>1859</v>
      </c>
      <c r="S65" s="0" t="s">
        <v>1860</v>
      </c>
      <c r="T65" s="0" t="s">
        <v>1848</v>
      </c>
      <c r="U65" s="0" t="s">
        <v>1848</v>
      </c>
      <c r="V65" s="0" t="s">
        <v>1861</v>
      </c>
      <c r="W65" s="2" t="s">
        <v>1862</v>
      </c>
      <c r="X65" s="0" t="s">
        <v>1855</v>
      </c>
      <c r="Y65" s="0" t="s">
        <v>1863</v>
      </c>
      <c r="Z65" s="0" t="s">
        <v>1864</v>
      </c>
      <c r="AA65" s="0" t="s">
        <v>1848</v>
      </c>
      <c r="AB65" s="1" t="s">
        <v>1865</v>
      </c>
      <c r="AC65" s="0" t="s">
        <v>1866</v>
      </c>
      <c r="AD65" s="0" t="s">
        <v>1848</v>
      </c>
      <c r="AE65" s="0" t="s">
        <v>1866</v>
      </c>
      <c r="AF65" s="0" t="s">
        <v>1853</v>
      </c>
      <c r="AG65" s="0" t="s">
        <v>1863</v>
      </c>
      <c r="AH65" s="0" t="s">
        <v>1856</v>
      </c>
      <c r="AI65" s="0" t="s">
        <v>1867</v>
      </c>
      <c r="AJ65" s="0" t="s">
        <v>1848</v>
      </c>
      <c r="AK65" s="0" t="s">
        <v>1848</v>
      </c>
      <c r="AL65" s="1" t="s">
        <v>1868</v>
      </c>
      <c r="AM65" s="0" t="s">
        <v>1869</v>
      </c>
      <c r="AN65" s="0" t="s">
        <v>1870</v>
      </c>
      <c r="AO65" s="0" t="s">
        <v>1871</v>
      </c>
      <c r="AP65" s="1" t="s">
        <v>1872</v>
      </c>
      <c r="AQ65" s="0" t="s">
        <v>1853</v>
      </c>
    </row>
    <row r="66" customFormat="false" ht="15" hidden="false" customHeight="false" outlineLevel="0" collapsed="false">
      <c r="A66" s="0" t="s">
        <v>1873</v>
      </c>
      <c r="B66" s="0" t="s">
        <v>1874</v>
      </c>
      <c r="C66" s="1" t="s">
        <v>1875</v>
      </c>
      <c r="D66" s="0" t="s">
        <v>1876</v>
      </c>
      <c r="E66" s="0" t="s">
        <v>1877</v>
      </c>
      <c r="F66" s="0" t="s">
        <v>1878</v>
      </c>
      <c r="G66" s="0" t="s">
        <v>1879</v>
      </c>
      <c r="H66" s="2" t="s">
        <v>1880</v>
      </c>
      <c r="I66" s="2" t="s">
        <v>1880</v>
      </c>
      <c r="J66" s="0" t="s">
        <v>1881</v>
      </c>
      <c r="K66" s="0" t="s">
        <v>1882</v>
      </c>
      <c r="L66" s="0" t="s">
        <v>1883</v>
      </c>
      <c r="M66" s="0" t="s">
        <v>1884</v>
      </c>
      <c r="N66" s="0" t="s">
        <v>1885</v>
      </c>
      <c r="O66" s="0" t="s">
        <v>1886</v>
      </c>
      <c r="P66" s="0" t="s">
        <v>1883</v>
      </c>
      <c r="Q66" s="0" t="s">
        <v>1887</v>
      </c>
      <c r="R66" s="1" t="s">
        <v>1888</v>
      </c>
      <c r="S66" s="0" t="s">
        <v>1889</v>
      </c>
      <c r="T66" s="0" t="s">
        <v>1890</v>
      </c>
      <c r="U66" s="0" t="s">
        <v>1891</v>
      </c>
      <c r="V66" s="0" t="s">
        <v>1892</v>
      </c>
      <c r="W66" s="2" t="s">
        <v>1893</v>
      </c>
      <c r="X66" s="0" t="s">
        <v>1894</v>
      </c>
      <c r="Y66" s="0" t="s">
        <v>1895</v>
      </c>
      <c r="Z66" s="0" t="s">
        <v>1896</v>
      </c>
      <c r="AA66" s="0" t="s">
        <v>1897</v>
      </c>
      <c r="AB66" s="1" t="s">
        <v>1898</v>
      </c>
      <c r="AC66" s="0" t="s">
        <v>1899</v>
      </c>
      <c r="AD66" s="0" t="s">
        <v>1900</v>
      </c>
      <c r="AE66" s="0" t="s">
        <v>1897</v>
      </c>
      <c r="AF66" s="0" t="s">
        <v>1878</v>
      </c>
      <c r="AG66" s="0" t="s">
        <v>1895</v>
      </c>
      <c r="AH66" s="0" t="s">
        <v>1901</v>
      </c>
      <c r="AI66" s="0" t="s">
        <v>1902</v>
      </c>
      <c r="AJ66" s="0" t="s">
        <v>1903</v>
      </c>
      <c r="AK66" s="0" t="s">
        <v>1883</v>
      </c>
      <c r="AL66" s="1" t="s">
        <v>1904</v>
      </c>
      <c r="AM66" s="0" t="s">
        <v>1905</v>
      </c>
      <c r="AN66" s="0" t="s">
        <v>1906</v>
      </c>
      <c r="AO66" s="0" t="s">
        <v>1907</v>
      </c>
      <c r="AP66" s="1" t="s">
        <v>1908</v>
      </c>
      <c r="AQ66" s="0" t="s">
        <v>1878</v>
      </c>
    </row>
    <row r="67" customFormat="false" ht="15" hidden="false" customHeight="false" outlineLevel="0" collapsed="false">
      <c r="A67" s="0" t="s">
        <v>1909</v>
      </c>
      <c r="B67" s="0" t="s">
        <v>1910</v>
      </c>
      <c r="C67" s="1" t="s">
        <v>1911</v>
      </c>
      <c r="D67" s="0" t="s">
        <v>1912</v>
      </c>
      <c r="E67" s="0" t="s">
        <v>1913</v>
      </c>
      <c r="F67" s="0" t="s">
        <v>1914</v>
      </c>
      <c r="G67" s="0" t="s">
        <v>1915</v>
      </c>
      <c r="H67" s="2" t="s">
        <v>1916</v>
      </c>
      <c r="I67" s="2" t="s">
        <v>1916</v>
      </c>
      <c r="J67" s="0" t="s">
        <v>1917</v>
      </c>
      <c r="K67" s="0" t="s">
        <v>1918</v>
      </c>
      <c r="L67" s="0" t="s">
        <v>1919</v>
      </c>
      <c r="M67" s="0" t="s">
        <v>1920</v>
      </c>
      <c r="N67" s="0" t="s">
        <v>1921</v>
      </c>
      <c r="O67" s="0" t="s">
        <v>1909</v>
      </c>
      <c r="P67" s="0" t="s">
        <v>1919</v>
      </c>
      <c r="Q67" s="0" t="s">
        <v>1922</v>
      </c>
      <c r="R67" s="1" t="s">
        <v>1923</v>
      </c>
      <c r="S67" s="0" t="s">
        <v>1924</v>
      </c>
      <c r="T67" s="0" t="s">
        <v>1925</v>
      </c>
      <c r="U67" s="0" t="s">
        <v>1926</v>
      </c>
      <c r="V67" s="0" t="s">
        <v>1927</v>
      </c>
      <c r="W67" s="2" t="s">
        <v>1928</v>
      </c>
      <c r="X67" s="0" t="s">
        <v>1929</v>
      </c>
      <c r="Y67" s="0" t="s">
        <v>1930</v>
      </c>
      <c r="Z67" s="0" t="s">
        <v>1931</v>
      </c>
      <c r="AA67" s="0" t="s">
        <v>1932</v>
      </c>
      <c r="AB67" s="1" t="s">
        <v>1933</v>
      </c>
      <c r="AC67" s="0" t="s">
        <v>1934</v>
      </c>
      <c r="AD67" s="0" t="s">
        <v>1935</v>
      </c>
      <c r="AE67" s="0" t="s">
        <v>1936</v>
      </c>
      <c r="AF67" s="0" t="s">
        <v>1914</v>
      </c>
      <c r="AG67" s="0" t="s">
        <v>1937</v>
      </c>
      <c r="AH67" s="0" t="s">
        <v>1938</v>
      </c>
      <c r="AI67" s="0" t="s">
        <v>1939</v>
      </c>
      <c r="AJ67" s="0" t="s">
        <v>1940</v>
      </c>
      <c r="AK67" s="0" t="s">
        <v>1919</v>
      </c>
      <c r="AL67" s="1" t="s">
        <v>1941</v>
      </c>
      <c r="AM67" s="0" t="s">
        <v>1942</v>
      </c>
      <c r="AN67" s="0" t="s">
        <v>1943</v>
      </c>
      <c r="AO67" s="0" t="s">
        <v>1944</v>
      </c>
      <c r="AP67" s="1" t="s">
        <v>1945</v>
      </c>
      <c r="AQ67" s="0" t="s">
        <v>1914</v>
      </c>
    </row>
    <row r="68" customFormat="false" ht="15" hidden="false" customHeight="false" outlineLevel="0" collapsed="false">
      <c r="A68" s="0" t="s">
        <v>1946</v>
      </c>
      <c r="B68" s="0" t="s">
        <v>1946</v>
      </c>
      <c r="C68" s="1" t="s">
        <v>1947</v>
      </c>
      <c r="D68" s="0" t="s">
        <v>1948</v>
      </c>
      <c r="E68" s="0" t="s">
        <v>1946</v>
      </c>
      <c r="F68" s="0" t="s">
        <v>1949</v>
      </c>
      <c r="G68" s="0" t="s">
        <v>1950</v>
      </c>
      <c r="H68" s="2" t="s">
        <v>1951</v>
      </c>
      <c r="I68" s="2" t="s">
        <v>1952</v>
      </c>
      <c r="J68" s="0" t="s">
        <v>1946</v>
      </c>
      <c r="K68" s="0" t="s">
        <v>1946</v>
      </c>
      <c r="L68" s="0" t="s">
        <v>1946</v>
      </c>
      <c r="M68" s="0" t="s">
        <v>1946</v>
      </c>
      <c r="N68" s="0" t="s">
        <v>1946</v>
      </c>
      <c r="O68" s="0" t="s">
        <v>1953</v>
      </c>
      <c r="P68" s="0" t="s">
        <v>1946</v>
      </c>
      <c r="Q68" s="0" t="s">
        <v>1954</v>
      </c>
      <c r="R68" s="1" t="s">
        <v>1955</v>
      </c>
      <c r="S68" s="0" t="s">
        <v>1946</v>
      </c>
      <c r="T68" s="0" t="s">
        <v>1946</v>
      </c>
      <c r="U68" s="0" t="s">
        <v>1946</v>
      </c>
      <c r="V68" s="0" t="s">
        <v>1946</v>
      </c>
      <c r="W68" s="2" t="s">
        <v>1956</v>
      </c>
      <c r="X68" s="0" t="s">
        <v>1946</v>
      </c>
      <c r="Y68" s="0" t="s">
        <v>1949</v>
      </c>
      <c r="Z68" s="0" t="s">
        <v>1946</v>
      </c>
      <c r="AA68" s="0" t="s">
        <v>1946</v>
      </c>
      <c r="AB68" s="1" t="s">
        <v>1957</v>
      </c>
      <c r="AC68" s="0" t="s">
        <v>1946</v>
      </c>
      <c r="AD68" s="0" t="s">
        <v>1958</v>
      </c>
      <c r="AE68" s="0" t="s">
        <v>1946</v>
      </c>
      <c r="AF68" s="0" t="s">
        <v>1949</v>
      </c>
      <c r="AG68" s="0" t="s">
        <v>1949</v>
      </c>
      <c r="AH68" s="0" t="s">
        <v>1946</v>
      </c>
      <c r="AI68" s="0" t="s">
        <v>1946</v>
      </c>
      <c r="AJ68" s="0" t="s">
        <v>1958</v>
      </c>
      <c r="AK68" s="0" t="s">
        <v>1946</v>
      </c>
      <c r="AL68" s="1" t="s">
        <v>1959</v>
      </c>
      <c r="AM68" s="0" t="s">
        <v>1946</v>
      </c>
      <c r="AN68" s="0" t="s">
        <v>1946</v>
      </c>
      <c r="AO68" s="0" t="s">
        <v>1949</v>
      </c>
      <c r="AP68" s="1" t="s">
        <v>1957</v>
      </c>
      <c r="AQ68" s="0" t="s">
        <v>1949</v>
      </c>
    </row>
    <row r="69" customFormat="false" ht="15" hidden="false" customHeight="false" outlineLevel="0" collapsed="false">
      <c r="A69" s="0" t="s">
        <v>1960</v>
      </c>
      <c r="B69" s="0" t="s">
        <v>1961</v>
      </c>
      <c r="C69" s="1" t="s">
        <v>1962</v>
      </c>
      <c r="D69" s="0" t="s">
        <v>1963</v>
      </c>
      <c r="E69" s="0" t="s">
        <v>1964</v>
      </c>
      <c r="F69" s="0" t="s">
        <v>1965</v>
      </c>
      <c r="G69" s="0" t="s">
        <v>1966</v>
      </c>
      <c r="H69" s="2" t="s">
        <v>1967</v>
      </c>
      <c r="I69" s="2" t="s">
        <v>1967</v>
      </c>
      <c r="J69" s="0" t="s">
        <v>1968</v>
      </c>
      <c r="K69" s="0" t="s">
        <v>1969</v>
      </c>
      <c r="L69" s="0" t="s">
        <v>1970</v>
      </c>
      <c r="M69" s="0" t="s">
        <v>1971</v>
      </c>
      <c r="N69" s="0" t="s">
        <v>1972</v>
      </c>
      <c r="O69" s="0" t="s">
        <v>1973</v>
      </c>
      <c r="P69" s="0" t="s">
        <v>1970</v>
      </c>
      <c r="Q69" s="0" t="s">
        <v>1974</v>
      </c>
      <c r="R69" s="1" t="s">
        <v>1975</v>
      </c>
      <c r="S69" s="0" t="s">
        <v>1976</v>
      </c>
      <c r="T69" s="0" t="s">
        <v>1977</v>
      </c>
      <c r="U69" s="0" t="s">
        <v>1978</v>
      </c>
      <c r="V69" s="0" t="s">
        <v>1979</v>
      </c>
      <c r="W69" s="2" t="s">
        <v>1980</v>
      </c>
      <c r="X69" s="0" t="s">
        <v>1981</v>
      </c>
      <c r="Y69" s="0" t="s">
        <v>1982</v>
      </c>
      <c r="Z69" s="0" t="s">
        <v>1983</v>
      </c>
      <c r="AA69" s="0" t="s">
        <v>1984</v>
      </c>
      <c r="AB69" s="1" t="s">
        <v>1985</v>
      </c>
      <c r="AC69" s="0" t="s">
        <v>1986</v>
      </c>
      <c r="AD69" s="0" t="s">
        <v>1987</v>
      </c>
      <c r="AE69" s="0" t="s">
        <v>1988</v>
      </c>
      <c r="AF69" s="0" t="s">
        <v>1989</v>
      </c>
      <c r="AG69" s="0" t="s">
        <v>1990</v>
      </c>
      <c r="AH69" s="0" t="s">
        <v>1991</v>
      </c>
      <c r="AI69" s="0" t="s">
        <v>1992</v>
      </c>
      <c r="AJ69" s="0" t="s">
        <v>1979</v>
      </c>
      <c r="AK69" s="0" t="s">
        <v>1993</v>
      </c>
      <c r="AL69" s="1" t="s">
        <v>1994</v>
      </c>
      <c r="AM69" s="0" t="s">
        <v>1995</v>
      </c>
      <c r="AN69" s="0" t="s">
        <v>1996</v>
      </c>
      <c r="AO69" s="0" t="s">
        <v>1997</v>
      </c>
      <c r="AP69" s="1" t="s">
        <v>1998</v>
      </c>
      <c r="AQ69" s="0" t="s">
        <v>1989</v>
      </c>
    </row>
    <row r="70" customFormat="false" ht="15" hidden="false" customHeight="false" outlineLevel="0" collapsed="false">
      <c r="A70" s="0" t="s">
        <v>1999</v>
      </c>
      <c r="B70" s="0" t="s">
        <v>1999</v>
      </c>
      <c r="C70" s="0" t="s">
        <v>1999</v>
      </c>
      <c r="D70" s="0" t="s">
        <v>1999</v>
      </c>
      <c r="E70" s="0" t="s">
        <v>1999</v>
      </c>
      <c r="F70" s="0" t="s">
        <v>1999</v>
      </c>
      <c r="G70" s="0" t="s">
        <v>1999</v>
      </c>
      <c r="H70" s="0" t="s">
        <v>1999</v>
      </c>
      <c r="I70" s="0" t="s">
        <v>1999</v>
      </c>
      <c r="J70" s="0" t="s">
        <v>1999</v>
      </c>
      <c r="K70" s="0" t="s">
        <v>1999</v>
      </c>
      <c r="L70" s="0" t="s">
        <v>1999</v>
      </c>
      <c r="M70" s="0" t="s">
        <v>2000</v>
      </c>
      <c r="N70" s="0" t="s">
        <v>1999</v>
      </c>
      <c r="O70" s="0" t="s">
        <v>1999</v>
      </c>
      <c r="P70" s="0" t="s">
        <v>1999</v>
      </c>
      <c r="Q70" s="0" t="s">
        <v>1999</v>
      </c>
      <c r="R70" s="0" t="s">
        <v>1999</v>
      </c>
      <c r="S70" s="0" t="s">
        <v>1999</v>
      </c>
      <c r="T70" s="0" t="s">
        <v>1999</v>
      </c>
      <c r="U70" s="0" t="s">
        <v>1999</v>
      </c>
      <c r="V70" s="0" t="s">
        <v>1999</v>
      </c>
      <c r="W70" s="0" t="s">
        <v>2001</v>
      </c>
      <c r="X70" s="0" t="s">
        <v>1999</v>
      </c>
      <c r="Y70" s="0" t="s">
        <v>1999</v>
      </c>
      <c r="Z70" s="0" t="s">
        <v>1999</v>
      </c>
      <c r="AA70" s="0" t="s">
        <v>1999</v>
      </c>
      <c r="AB70" s="1" t="s">
        <v>2002</v>
      </c>
      <c r="AC70" s="0" t="s">
        <v>1999</v>
      </c>
      <c r="AD70" s="0" t="s">
        <v>1999</v>
      </c>
      <c r="AE70" s="0" t="s">
        <v>1999</v>
      </c>
      <c r="AF70" s="0" t="s">
        <v>1999</v>
      </c>
      <c r="AG70" s="0" t="s">
        <v>1999</v>
      </c>
      <c r="AH70" s="0" t="s">
        <v>1999</v>
      </c>
      <c r="AI70" s="0" t="s">
        <v>1999</v>
      </c>
      <c r="AJ70" s="0" t="s">
        <v>1999</v>
      </c>
      <c r="AK70" s="0" t="s">
        <v>1999</v>
      </c>
      <c r="AL70" s="1" t="s">
        <v>2003</v>
      </c>
      <c r="AM70" s="0" t="s">
        <v>2000</v>
      </c>
      <c r="AN70" s="0" t="s">
        <v>1999</v>
      </c>
      <c r="AO70" s="0" t="s">
        <v>1999</v>
      </c>
      <c r="AP70" s="1" t="s">
        <v>2004</v>
      </c>
      <c r="AQ70" s="0" t="s">
        <v>1999</v>
      </c>
    </row>
    <row r="71" customFormat="false" ht="15" hidden="false" customHeight="false" outlineLevel="0" collapsed="false">
      <c r="A71" s="0" t="s">
        <v>2005</v>
      </c>
      <c r="B71" s="0" t="s">
        <v>2005</v>
      </c>
      <c r="C71" s="0" t="s">
        <v>2005</v>
      </c>
      <c r="D71" s="0" t="s">
        <v>2005</v>
      </c>
      <c r="E71" s="0" t="s">
        <v>2005</v>
      </c>
      <c r="F71" s="0" t="s">
        <v>2005</v>
      </c>
      <c r="G71" s="0" t="s">
        <v>2005</v>
      </c>
      <c r="H71" s="0" t="s">
        <v>2005</v>
      </c>
      <c r="I71" s="0" t="s">
        <v>2005</v>
      </c>
      <c r="J71" s="0" t="s">
        <v>2005</v>
      </c>
      <c r="K71" s="0" t="s">
        <v>2005</v>
      </c>
      <c r="L71" s="0" t="s">
        <v>2005</v>
      </c>
      <c r="M71" s="0" t="s">
        <v>2006</v>
      </c>
      <c r="N71" s="0" t="s">
        <v>2005</v>
      </c>
      <c r="O71" s="0" t="s">
        <v>2005</v>
      </c>
      <c r="P71" s="0" t="s">
        <v>2005</v>
      </c>
      <c r="Q71" s="0" t="s">
        <v>2005</v>
      </c>
      <c r="R71" s="0" t="s">
        <v>2005</v>
      </c>
      <c r="S71" s="0" t="s">
        <v>2005</v>
      </c>
      <c r="T71" s="0" t="s">
        <v>2005</v>
      </c>
      <c r="U71" s="0" t="s">
        <v>2005</v>
      </c>
      <c r="V71" s="0" t="s">
        <v>2005</v>
      </c>
      <c r="W71" s="0" t="s">
        <v>2007</v>
      </c>
      <c r="X71" s="0" t="s">
        <v>2005</v>
      </c>
      <c r="Y71" s="0" t="s">
        <v>2005</v>
      </c>
      <c r="Z71" s="0" t="s">
        <v>2005</v>
      </c>
      <c r="AA71" s="0" t="s">
        <v>2005</v>
      </c>
      <c r="AB71" s="1" t="s">
        <v>2008</v>
      </c>
      <c r="AC71" s="0" t="s">
        <v>2005</v>
      </c>
      <c r="AD71" s="0" t="s">
        <v>2005</v>
      </c>
      <c r="AE71" s="0" t="s">
        <v>2005</v>
      </c>
      <c r="AF71" s="0" t="s">
        <v>2005</v>
      </c>
      <c r="AG71" s="0" t="s">
        <v>2005</v>
      </c>
      <c r="AH71" s="0" t="s">
        <v>2005</v>
      </c>
      <c r="AI71" s="0" t="s">
        <v>2005</v>
      </c>
      <c r="AJ71" s="0" t="s">
        <v>2005</v>
      </c>
      <c r="AK71" s="0" t="s">
        <v>2005</v>
      </c>
      <c r="AL71" s="1" t="s">
        <v>2009</v>
      </c>
      <c r="AM71" s="0" t="s">
        <v>2006</v>
      </c>
      <c r="AN71" s="0" t="s">
        <v>2005</v>
      </c>
      <c r="AO71" s="0" t="s">
        <v>2005</v>
      </c>
      <c r="AP71" s="1" t="s">
        <v>2010</v>
      </c>
      <c r="AQ71" s="0" t="s">
        <v>2005</v>
      </c>
    </row>
    <row r="72" customFormat="false" ht="15" hidden="false" customHeight="false" outlineLevel="0" collapsed="false">
      <c r="A72" s="0" t="s">
        <v>2011</v>
      </c>
      <c r="B72" s="0" t="s">
        <v>2011</v>
      </c>
      <c r="C72" s="0" t="s">
        <v>2011</v>
      </c>
      <c r="D72" s="0" t="s">
        <v>2011</v>
      </c>
      <c r="E72" s="0" t="s">
        <v>2011</v>
      </c>
      <c r="F72" s="0" t="s">
        <v>2011</v>
      </c>
      <c r="G72" s="0" t="s">
        <v>2011</v>
      </c>
      <c r="H72" s="0" t="s">
        <v>2011</v>
      </c>
      <c r="I72" s="0" t="s">
        <v>2011</v>
      </c>
      <c r="J72" s="0" t="s">
        <v>2011</v>
      </c>
      <c r="K72" s="0" t="s">
        <v>2011</v>
      </c>
      <c r="L72" s="0" t="s">
        <v>2011</v>
      </c>
      <c r="M72" s="0" t="s">
        <v>2012</v>
      </c>
      <c r="N72" s="0" t="s">
        <v>2011</v>
      </c>
      <c r="O72" s="0" t="s">
        <v>2011</v>
      </c>
      <c r="P72" s="0" t="s">
        <v>2011</v>
      </c>
      <c r="Q72" s="0" t="s">
        <v>2011</v>
      </c>
      <c r="R72" s="0" t="s">
        <v>2011</v>
      </c>
      <c r="S72" s="0" t="s">
        <v>2011</v>
      </c>
      <c r="T72" s="0" t="s">
        <v>2011</v>
      </c>
      <c r="U72" s="0" t="s">
        <v>2011</v>
      </c>
      <c r="V72" s="0" t="s">
        <v>2011</v>
      </c>
      <c r="W72" s="0" t="s">
        <v>2013</v>
      </c>
      <c r="X72" s="0" t="s">
        <v>2011</v>
      </c>
      <c r="Y72" s="0" t="s">
        <v>2011</v>
      </c>
      <c r="Z72" s="0" t="s">
        <v>2011</v>
      </c>
      <c r="AA72" s="0" t="s">
        <v>2011</v>
      </c>
      <c r="AB72" s="1" t="s">
        <v>2014</v>
      </c>
      <c r="AC72" s="0" t="s">
        <v>2011</v>
      </c>
      <c r="AD72" s="0" t="s">
        <v>2011</v>
      </c>
      <c r="AE72" s="0" t="s">
        <v>2011</v>
      </c>
      <c r="AF72" s="0" t="s">
        <v>2011</v>
      </c>
      <c r="AG72" s="0" t="s">
        <v>2011</v>
      </c>
      <c r="AH72" s="0" t="s">
        <v>2011</v>
      </c>
      <c r="AI72" s="0" t="s">
        <v>2011</v>
      </c>
      <c r="AJ72" s="0" t="s">
        <v>2011</v>
      </c>
      <c r="AK72" s="0" t="s">
        <v>2011</v>
      </c>
      <c r="AL72" s="1" t="s">
        <v>2015</v>
      </c>
      <c r="AM72" s="0" t="s">
        <v>2012</v>
      </c>
      <c r="AN72" s="0" t="s">
        <v>2011</v>
      </c>
      <c r="AO72" s="0" t="s">
        <v>2011</v>
      </c>
      <c r="AP72" s="1" t="s">
        <v>2016</v>
      </c>
      <c r="AQ72" s="0" t="s">
        <v>2011</v>
      </c>
    </row>
    <row r="73" customFormat="false" ht="15" hidden="false" customHeight="false" outlineLevel="0" collapsed="false">
      <c r="A73" s="0" t="s">
        <v>2017</v>
      </c>
      <c r="B73" s="0" t="s">
        <v>2017</v>
      </c>
      <c r="C73" s="0" t="s">
        <v>2017</v>
      </c>
      <c r="D73" s="0" t="s">
        <v>2017</v>
      </c>
      <c r="E73" s="0" t="s">
        <v>2017</v>
      </c>
      <c r="F73" s="0" t="s">
        <v>2017</v>
      </c>
      <c r="G73" s="0" t="s">
        <v>2017</v>
      </c>
      <c r="H73" s="0" t="s">
        <v>2017</v>
      </c>
      <c r="I73" s="0" t="s">
        <v>2017</v>
      </c>
      <c r="J73" s="0" t="s">
        <v>2017</v>
      </c>
      <c r="K73" s="0" t="s">
        <v>2017</v>
      </c>
      <c r="L73" s="0" t="s">
        <v>2017</v>
      </c>
      <c r="M73" s="0" t="s">
        <v>2018</v>
      </c>
      <c r="N73" s="0" t="s">
        <v>2017</v>
      </c>
      <c r="O73" s="0" t="s">
        <v>2017</v>
      </c>
      <c r="P73" s="0" t="s">
        <v>2017</v>
      </c>
      <c r="Q73" s="0" t="s">
        <v>2017</v>
      </c>
      <c r="R73" s="0" t="s">
        <v>2017</v>
      </c>
      <c r="S73" s="0" t="s">
        <v>2017</v>
      </c>
      <c r="T73" s="0" t="s">
        <v>2017</v>
      </c>
      <c r="U73" s="0" t="s">
        <v>2017</v>
      </c>
      <c r="V73" s="0" t="s">
        <v>2017</v>
      </c>
      <c r="W73" s="0" t="s">
        <v>2019</v>
      </c>
      <c r="X73" s="0" t="s">
        <v>2017</v>
      </c>
      <c r="Y73" s="0" t="s">
        <v>2017</v>
      </c>
      <c r="Z73" s="0" t="s">
        <v>2017</v>
      </c>
      <c r="AA73" s="0" t="s">
        <v>2017</v>
      </c>
      <c r="AB73" s="1" t="s">
        <v>2020</v>
      </c>
      <c r="AC73" s="0" t="s">
        <v>2017</v>
      </c>
      <c r="AD73" s="0" t="s">
        <v>2017</v>
      </c>
      <c r="AE73" s="0" t="s">
        <v>2017</v>
      </c>
      <c r="AF73" s="0" t="s">
        <v>2017</v>
      </c>
      <c r="AG73" s="0" t="s">
        <v>2017</v>
      </c>
      <c r="AH73" s="0" t="s">
        <v>2017</v>
      </c>
      <c r="AI73" s="0" t="s">
        <v>2017</v>
      </c>
      <c r="AJ73" s="0" t="s">
        <v>2017</v>
      </c>
      <c r="AK73" s="0" t="s">
        <v>2017</v>
      </c>
      <c r="AL73" s="1" t="s">
        <v>2021</v>
      </c>
      <c r="AM73" s="0" t="s">
        <v>2018</v>
      </c>
      <c r="AN73" s="0" t="s">
        <v>2017</v>
      </c>
      <c r="AO73" s="0" t="s">
        <v>2017</v>
      </c>
      <c r="AP73" s="1" t="s">
        <v>2022</v>
      </c>
      <c r="AQ73" s="0" t="s">
        <v>2017</v>
      </c>
    </row>
    <row r="74" customFormat="false" ht="15" hidden="false" customHeight="false" outlineLevel="0" collapsed="false">
      <c r="A74" s="0" t="s">
        <v>2023</v>
      </c>
      <c r="B74" s="0" t="s">
        <v>2023</v>
      </c>
      <c r="C74" s="0" t="s">
        <v>2023</v>
      </c>
      <c r="D74" s="0" t="s">
        <v>2023</v>
      </c>
      <c r="E74" s="0" t="s">
        <v>2023</v>
      </c>
      <c r="F74" s="0" t="s">
        <v>2023</v>
      </c>
      <c r="G74" s="0" t="s">
        <v>2023</v>
      </c>
      <c r="H74" s="0" t="s">
        <v>2023</v>
      </c>
      <c r="I74" s="0" t="s">
        <v>2023</v>
      </c>
      <c r="J74" s="0" t="s">
        <v>2023</v>
      </c>
      <c r="K74" s="0" t="s">
        <v>2023</v>
      </c>
      <c r="L74" s="0" t="s">
        <v>2023</v>
      </c>
      <c r="M74" s="0" t="s">
        <v>2024</v>
      </c>
      <c r="N74" s="0" t="s">
        <v>2023</v>
      </c>
      <c r="O74" s="0" t="s">
        <v>2023</v>
      </c>
      <c r="P74" s="0" t="s">
        <v>2023</v>
      </c>
      <c r="Q74" s="0" t="s">
        <v>2025</v>
      </c>
      <c r="R74" s="0" t="s">
        <v>2023</v>
      </c>
      <c r="S74" s="0" t="s">
        <v>2023</v>
      </c>
      <c r="T74" s="0" t="s">
        <v>2023</v>
      </c>
      <c r="U74" s="0" t="s">
        <v>2023</v>
      </c>
      <c r="V74" s="0" t="s">
        <v>2023</v>
      </c>
      <c r="W74" s="0" t="s">
        <v>2026</v>
      </c>
      <c r="X74" s="0" t="s">
        <v>2023</v>
      </c>
      <c r="Y74" s="0" t="s">
        <v>2023</v>
      </c>
      <c r="Z74" s="0" t="s">
        <v>2027</v>
      </c>
      <c r="AA74" s="0" t="s">
        <v>2023</v>
      </c>
      <c r="AB74" s="1" t="s">
        <v>2028</v>
      </c>
      <c r="AC74" s="0" t="s">
        <v>2023</v>
      </c>
      <c r="AD74" s="0" t="s">
        <v>2023</v>
      </c>
      <c r="AE74" s="0" t="s">
        <v>2023</v>
      </c>
      <c r="AF74" s="0" t="s">
        <v>2023</v>
      </c>
      <c r="AG74" s="0" t="s">
        <v>2023</v>
      </c>
      <c r="AH74" s="0" t="s">
        <v>2023</v>
      </c>
      <c r="AI74" s="0" t="s">
        <v>2023</v>
      </c>
      <c r="AJ74" s="0" t="s">
        <v>2023</v>
      </c>
      <c r="AK74" s="0" t="s">
        <v>2023</v>
      </c>
      <c r="AL74" s="1" t="s">
        <v>2029</v>
      </c>
      <c r="AM74" s="0" t="s">
        <v>2024</v>
      </c>
      <c r="AN74" s="0" t="s">
        <v>2023</v>
      </c>
      <c r="AO74" s="0" t="s">
        <v>2023</v>
      </c>
      <c r="AP74" s="1" t="s">
        <v>2030</v>
      </c>
      <c r="AQ74" s="0" t="s">
        <v>2023</v>
      </c>
    </row>
    <row r="75" customFormat="false" ht="15" hidden="false" customHeight="false" outlineLevel="0" collapsed="false">
      <c r="A75" s="0" t="s">
        <v>2031</v>
      </c>
      <c r="B75" s="0" t="s">
        <v>2031</v>
      </c>
      <c r="C75" s="0" t="s">
        <v>2031</v>
      </c>
      <c r="D75" s="0" t="s">
        <v>2031</v>
      </c>
      <c r="E75" s="0" t="s">
        <v>2031</v>
      </c>
      <c r="F75" s="0" t="s">
        <v>2031</v>
      </c>
      <c r="G75" s="0" t="s">
        <v>2031</v>
      </c>
      <c r="H75" s="0" t="s">
        <v>2031</v>
      </c>
      <c r="I75" s="0" t="s">
        <v>2031</v>
      </c>
      <c r="J75" s="0" t="s">
        <v>2031</v>
      </c>
      <c r="K75" s="0" t="s">
        <v>2031</v>
      </c>
      <c r="L75" s="0" t="s">
        <v>2031</v>
      </c>
      <c r="M75" s="0" t="s">
        <v>2032</v>
      </c>
      <c r="N75" s="0" t="s">
        <v>2031</v>
      </c>
      <c r="O75" s="0" t="s">
        <v>2031</v>
      </c>
      <c r="P75" s="0" t="s">
        <v>2031</v>
      </c>
      <c r="Q75" s="0" t="s">
        <v>2033</v>
      </c>
      <c r="R75" s="0" t="s">
        <v>2031</v>
      </c>
      <c r="S75" s="0" t="s">
        <v>2031</v>
      </c>
      <c r="T75" s="0" t="s">
        <v>2031</v>
      </c>
      <c r="U75" s="0" t="s">
        <v>2031</v>
      </c>
      <c r="V75" s="0" t="s">
        <v>2031</v>
      </c>
      <c r="W75" s="0" t="s">
        <v>2034</v>
      </c>
      <c r="X75" s="0" t="s">
        <v>2031</v>
      </c>
      <c r="Y75" s="0" t="s">
        <v>2031</v>
      </c>
      <c r="Z75" s="0" t="s">
        <v>2035</v>
      </c>
      <c r="AA75" s="0" t="s">
        <v>2031</v>
      </c>
      <c r="AB75" s="1" t="s">
        <v>2036</v>
      </c>
      <c r="AC75" s="0" t="s">
        <v>2031</v>
      </c>
      <c r="AD75" s="0" t="s">
        <v>2031</v>
      </c>
      <c r="AE75" s="0" t="s">
        <v>2031</v>
      </c>
      <c r="AF75" s="0" t="s">
        <v>2031</v>
      </c>
      <c r="AG75" s="0" t="s">
        <v>2031</v>
      </c>
      <c r="AH75" s="0" t="s">
        <v>2031</v>
      </c>
      <c r="AI75" s="0" t="s">
        <v>2031</v>
      </c>
      <c r="AJ75" s="0" t="s">
        <v>2031</v>
      </c>
      <c r="AK75" s="0" t="s">
        <v>2031</v>
      </c>
      <c r="AL75" s="1" t="s">
        <v>2037</v>
      </c>
      <c r="AM75" s="0" t="s">
        <v>2032</v>
      </c>
      <c r="AN75" s="0" t="s">
        <v>2031</v>
      </c>
      <c r="AO75" s="0" t="s">
        <v>2031</v>
      </c>
      <c r="AP75" s="1" t="s">
        <v>2038</v>
      </c>
      <c r="AQ75" s="0" t="s">
        <v>2031</v>
      </c>
    </row>
    <row r="76" customFormat="false" ht="15" hidden="false" customHeight="false" outlineLevel="0" collapsed="false">
      <c r="A76" s="0" t="s">
        <v>2039</v>
      </c>
      <c r="B76" s="0" t="s">
        <v>2039</v>
      </c>
      <c r="C76" s="0" t="s">
        <v>2039</v>
      </c>
      <c r="D76" s="0" t="s">
        <v>2039</v>
      </c>
      <c r="E76" s="0" t="s">
        <v>2039</v>
      </c>
      <c r="F76" s="0" t="s">
        <v>2039</v>
      </c>
      <c r="G76" s="0" t="s">
        <v>2039</v>
      </c>
      <c r="H76" s="0" t="s">
        <v>2039</v>
      </c>
      <c r="I76" s="0" t="s">
        <v>2039</v>
      </c>
      <c r="J76" s="0" t="s">
        <v>2039</v>
      </c>
      <c r="K76" s="0" t="s">
        <v>2039</v>
      </c>
      <c r="L76" s="0" t="s">
        <v>2039</v>
      </c>
      <c r="M76" s="0" t="s">
        <v>2040</v>
      </c>
      <c r="N76" s="0" t="s">
        <v>2039</v>
      </c>
      <c r="O76" s="0" t="s">
        <v>2039</v>
      </c>
      <c r="P76" s="0" t="s">
        <v>2039</v>
      </c>
      <c r="Q76" s="0" t="s">
        <v>2041</v>
      </c>
      <c r="R76" s="0" t="s">
        <v>2039</v>
      </c>
      <c r="S76" s="0" t="s">
        <v>2039</v>
      </c>
      <c r="T76" s="0" t="s">
        <v>2039</v>
      </c>
      <c r="U76" s="0" t="s">
        <v>2039</v>
      </c>
      <c r="V76" s="0" t="s">
        <v>2039</v>
      </c>
      <c r="W76" s="0" t="s">
        <v>2042</v>
      </c>
      <c r="X76" s="0" t="s">
        <v>2039</v>
      </c>
      <c r="Y76" s="0" t="s">
        <v>2039</v>
      </c>
      <c r="Z76" s="0" t="s">
        <v>2039</v>
      </c>
      <c r="AA76" s="0" t="s">
        <v>2039</v>
      </c>
      <c r="AB76" s="1" t="s">
        <v>2043</v>
      </c>
      <c r="AC76" s="0" t="s">
        <v>2039</v>
      </c>
      <c r="AD76" s="0" t="s">
        <v>2039</v>
      </c>
      <c r="AE76" s="0" t="s">
        <v>2039</v>
      </c>
      <c r="AF76" s="0" t="s">
        <v>2039</v>
      </c>
      <c r="AG76" s="0" t="s">
        <v>2039</v>
      </c>
      <c r="AH76" s="0" t="s">
        <v>2039</v>
      </c>
      <c r="AI76" s="0" t="s">
        <v>2039</v>
      </c>
      <c r="AJ76" s="0" t="s">
        <v>2039</v>
      </c>
      <c r="AK76" s="0" t="s">
        <v>2039</v>
      </c>
      <c r="AL76" s="1" t="s">
        <v>2044</v>
      </c>
      <c r="AM76" s="0" t="s">
        <v>2040</v>
      </c>
      <c r="AN76" s="0" t="s">
        <v>2039</v>
      </c>
      <c r="AO76" s="0" t="s">
        <v>2039</v>
      </c>
      <c r="AP76" s="1" t="s">
        <v>2045</v>
      </c>
      <c r="AQ76" s="0" t="s">
        <v>2039</v>
      </c>
    </row>
    <row r="77" customFormat="false" ht="15" hidden="false" customHeight="false" outlineLevel="0" collapsed="false">
      <c r="A77" s="0" t="s">
        <v>2046</v>
      </c>
      <c r="B77" s="0" t="s">
        <v>2046</v>
      </c>
      <c r="C77" s="0" t="s">
        <v>2046</v>
      </c>
      <c r="D77" s="0" t="s">
        <v>2046</v>
      </c>
      <c r="E77" s="0" t="s">
        <v>2046</v>
      </c>
      <c r="F77" s="0" t="s">
        <v>2046</v>
      </c>
      <c r="G77" s="0" t="s">
        <v>2046</v>
      </c>
      <c r="H77" s="0" t="s">
        <v>2046</v>
      </c>
      <c r="I77" s="0" t="s">
        <v>2046</v>
      </c>
      <c r="J77" s="0" t="s">
        <v>2046</v>
      </c>
      <c r="K77" s="0" t="s">
        <v>2046</v>
      </c>
      <c r="L77" s="0" t="s">
        <v>2046</v>
      </c>
      <c r="M77" s="0" t="s">
        <v>2047</v>
      </c>
      <c r="N77" s="0" t="s">
        <v>2046</v>
      </c>
      <c r="O77" s="0" t="s">
        <v>2046</v>
      </c>
      <c r="P77" s="0" t="s">
        <v>2046</v>
      </c>
      <c r="Q77" s="0" t="s">
        <v>2048</v>
      </c>
      <c r="R77" s="0" t="s">
        <v>2046</v>
      </c>
      <c r="S77" s="0" t="s">
        <v>2046</v>
      </c>
      <c r="T77" s="0" t="s">
        <v>2046</v>
      </c>
      <c r="U77" s="0" t="s">
        <v>2046</v>
      </c>
      <c r="V77" s="0" t="s">
        <v>2046</v>
      </c>
      <c r="W77" s="0" t="s">
        <v>2049</v>
      </c>
      <c r="X77" s="0" t="s">
        <v>2046</v>
      </c>
      <c r="Y77" s="0" t="s">
        <v>2046</v>
      </c>
      <c r="Z77" s="0" t="s">
        <v>2046</v>
      </c>
      <c r="AA77" s="0" t="s">
        <v>2046</v>
      </c>
      <c r="AB77" s="1" t="s">
        <v>2050</v>
      </c>
      <c r="AC77" s="0" t="s">
        <v>2046</v>
      </c>
      <c r="AD77" s="0" t="s">
        <v>2046</v>
      </c>
      <c r="AE77" s="0" t="s">
        <v>2046</v>
      </c>
      <c r="AF77" s="0" t="s">
        <v>2046</v>
      </c>
      <c r="AG77" s="0" t="s">
        <v>2046</v>
      </c>
      <c r="AH77" s="0" t="s">
        <v>2046</v>
      </c>
      <c r="AI77" s="0" t="s">
        <v>2046</v>
      </c>
      <c r="AJ77" s="0" t="s">
        <v>2046</v>
      </c>
      <c r="AK77" s="0" t="s">
        <v>2046</v>
      </c>
      <c r="AL77" s="1" t="s">
        <v>2051</v>
      </c>
      <c r="AM77" s="0" t="s">
        <v>2047</v>
      </c>
      <c r="AN77" s="0" t="s">
        <v>2046</v>
      </c>
      <c r="AO77" s="0" t="s">
        <v>2046</v>
      </c>
      <c r="AP77" s="1" t="s">
        <v>2052</v>
      </c>
      <c r="AQ77" s="0" t="s">
        <v>2046</v>
      </c>
    </row>
    <row r="78" customFormat="false" ht="15" hidden="false" customHeight="false" outlineLevel="0" collapsed="false">
      <c r="A78" s="0" t="s">
        <v>2053</v>
      </c>
      <c r="B78" s="0" t="s">
        <v>2053</v>
      </c>
      <c r="C78" s="0" t="s">
        <v>2053</v>
      </c>
      <c r="D78" s="0" t="s">
        <v>2053</v>
      </c>
      <c r="E78" s="0" t="s">
        <v>2053</v>
      </c>
      <c r="F78" s="0" t="s">
        <v>2053</v>
      </c>
      <c r="G78" s="0" t="s">
        <v>2053</v>
      </c>
      <c r="H78" s="0" t="s">
        <v>2053</v>
      </c>
      <c r="I78" s="0" t="s">
        <v>2053</v>
      </c>
      <c r="J78" s="0" t="s">
        <v>2053</v>
      </c>
      <c r="K78" s="0" t="s">
        <v>2053</v>
      </c>
      <c r="L78" s="0" t="s">
        <v>2053</v>
      </c>
      <c r="M78" s="0" t="s">
        <v>2054</v>
      </c>
      <c r="N78" s="0" t="s">
        <v>2053</v>
      </c>
      <c r="O78" s="0" t="s">
        <v>2053</v>
      </c>
      <c r="P78" s="0" t="s">
        <v>2053</v>
      </c>
      <c r="Q78" s="0" t="s">
        <v>2055</v>
      </c>
      <c r="R78" s="0" t="s">
        <v>2053</v>
      </c>
      <c r="S78" s="0" t="s">
        <v>2053</v>
      </c>
      <c r="T78" s="0" t="s">
        <v>2053</v>
      </c>
      <c r="U78" s="0" t="s">
        <v>2053</v>
      </c>
      <c r="V78" s="0" t="s">
        <v>2053</v>
      </c>
      <c r="W78" s="0" t="s">
        <v>2056</v>
      </c>
      <c r="X78" s="0" t="s">
        <v>2053</v>
      </c>
      <c r="Y78" s="0" t="s">
        <v>2053</v>
      </c>
      <c r="Z78" s="0" t="s">
        <v>2053</v>
      </c>
      <c r="AA78" s="0" t="s">
        <v>2053</v>
      </c>
      <c r="AB78" s="1" t="s">
        <v>2057</v>
      </c>
      <c r="AC78" s="0" t="s">
        <v>2053</v>
      </c>
      <c r="AD78" s="0" t="s">
        <v>2053</v>
      </c>
      <c r="AE78" s="0" t="s">
        <v>2053</v>
      </c>
      <c r="AF78" s="0" t="s">
        <v>2053</v>
      </c>
      <c r="AG78" s="0" t="s">
        <v>2053</v>
      </c>
      <c r="AH78" s="0" t="s">
        <v>2053</v>
      </c>
      <c r="AI78" s="0" t="s">
        <v>2053</v>
      </c>
      <c r="AJ78" s="0" t="s">
        <v>2053</v>
      </c>
      <c r="AK78" s="0" t="s">
        <v>2053</v>
      </c>
      <c r="AL78" s="1" t="s">
        <v>2058</v>
      </c>
      <c r="AM78" s="0" t="s">
        <v>2054</v>
      </c>
      <c r="AN78" s="0" t="s">
        <v>2053</v>
      </c>
      <c r="AO78" s="0" t="s">
        <v>2053</v>
      </c>
      <c r="AP78" s="1" t="s">
        <v>2059</v>
      </c>
      <c r="AQ78" s="0" t="s">
        <v>2053</v>
      </c>
    </row>
    <row r="79" customFormat="false" ht="15" hidden="false" customHeight="false" outlineLevel="0" collapsed="false">
      <c r="A79" s="0" t="s">
        <v>2060</v>
      </c>
      <c r="B79" s="0" t="s">
        <v>2060</v>
      </c>
      <c r="C79" s="0" t="s">
        <v>2060</v>
      </c>
      <c r="D79" s="0" t="s">
        <v>2060</v>
      </c>
      <c r="E79" s="0" t="s">
        <v>2060</v>
      </c>
      <c r="F79" s="0" t="s">
        <v>2060</v>
      </c>
      <c r="G79" s="0" t="s">
        <v>2060</v>
      </c>
      <c r="H79" s="0" t="s">
        <v>2060</v>
      </c>
      <c r="I79" s="0" t="s">
        <v>2060</v>
      </c>
      <c r="J79" s="0" t="s">
        <v>2060</v>
      </c>
      <c r="K79" s="0" t="s">
        <v>2060</v>
      </c>
      <c r="L79" s="0" t="s">
        <v>2060</v>
      </c>
      <c r="M79" s="0" t="s">
        <v>2061</v>
      </c>
      <c r="N79" s="0" t="s">
        <v>2060</v>
      </c>
      <c r="O79" s="0" t="s">
        <v>2060</v>
      </c>
      <c r="P79" s="0" t="s">
        <v>2060</v>
      </c>
      <c r="Q79" s="0" t="s">
        <v>2062</v>
      </c>
      <c r="R79" s="0" t="s">
        <v>2060</v>
      </c>
      <c r="S79" s="0" t="s">
        <v>2060</v>
      </c>
      <c r="T79" s="0" t="s">
        <v>2060</v>
      </c>
      <c r="U79" s="0" t="s">
        <v>2060</v>
      </c>
      <c r="V79" s="0" t="s">
        <v>2060</v>
      </c>
      <c r="W79" s="0" t="s">
        <v>2063</v>
      </c>
      <c r="X79" s="0" t="s">
        <v>2060</v>
      </c>
      <c r="Y79" s="0" t="s">
        <v>2060</v>
      </c>
      <c r="Z79" s="0" t="s">
        <v>2060</v>
      </c>
      <c r="AA79" s="0" t="s">
        <v>2060</v>
      </c>
      <c r="AB79" s="1" t="s">
        <v>2064</v>
      </c>
      <c r="AC79" s="0" t="s">
        <v>2060</v>
      </c>
      <c r="AD79" s="0" t="s">
        <v>2060</v>
      </c>
      <c r="AE79" s="0" t="s">
        <v>2060</v>
      </c>
      <c r="AF79" s="0" t="s">
        <v>2060</v>
      </c>
      <c r="AG79" s="0" t="s">
        <v>2060</v>
      </c>
      <c r="AH79" s="0" t="s">
        <v>2060</v>
      </c>
      <c r="AI79" s="0" t="s">
        <v>2060</v>
      </c>
      <c r="AJ79" s="0" t="s">
        <v>2060</v>
      </c>
      <c r="AK79" s="0" t="s">
        <v>2060</v>
      </c>
      <c r="AL79" s="1" t="s">
        <v>2065</v>
      </c>
      <c r="AM79" s="0" t="s">
        <v>2061</v>
      </c>
      <c r="AN79" s="0" t="s">
        <v>2060</v>
      </c>
      <c r="AO79" s="0" t="s">
        <v>2060</v>
      </c>
      <c r="AP79" s="1" t="s">
        <v>2066</v>
      </c>
      <c r="AQ79" s="0" t="s">
        <v>2060</v>
      </c>
    </row>
    <row r="80" customFormat="false" ht="15" hidden="false" customHeight="false" outlineLevel="0" collapsed="false">
      <c r="A80" s="0" t="s">
        <v>2067</v>
      </c>
      <c r="B80" s="0" t="s">
        <v>2067</v>
      </c>
      <c r="C80" s="0" t="s">
        <v>2067</v>
      </c>
      <c r="D80" s="0" t="s">
        <v>2067</v>
      </c>
      <c r="E80" s="0" t="s">
        <v>2067</v>
      </c>
      <c r="F80" s="0" t="s">
        <v>2067</v>
      </c>
      <c r="G80" s="0" t="s">
        <v>2067</v>
      </c>
      <c r="H80" s="0" t="s">
        <v>2067</v>
      </c>
      <c r="I80" s="0" t="s">
        <v>2067</v>
      </c>
      <c r="J80" s="0" t="s">
        <v>2067</v>
      </c>
      <c r="K80" s="0" t="s">
        <v>2067</v>
      </c>
      <c r="L80" s="0" t="s">
        <v>2067</v>
      </c>
      <c r="M80" s="0" t="s">
        <v>2068</v>
      </c>
      <c r="N80" s="0" t="s">
        <v>2067</v>
      </c>
      <c r="O80" s="0" t="s">
        <v>2067</v>
      </c>
      <c r="P80" s="0" t="s">
        <v>2067</v>
      </c>
      <c r="Q80" s="0" t="s">
        <v>2069</v>
      </c>
      <c r="R80" s="0" t="s">
        <v>2067</v>
      </c>
      <c r="S80" s="0" t="s">
        <v>2067</v>
      </c>
      <c r="T80" s="0" t="s">
        <v>2067</v>
      </c>
      <c r="U80" s="0" t="s">
        <v>2067</v>
      </c>
      <c r="V80" s="0" t="s">
        <v>2067</v>
      </c>
      <c r="W80" s="0" t="s">
        <v>2070</v>
      </c>
      <c r="X80" s="0" t="s">
        <v>2067</v>
      </c>
      <c r="Y80" s="0" t="s">
        <v>2067</v>
      </c>
      <c r="Z80" s="0" t="s">
        <v>2067</v>
      </c>
      <c r="AA80" s="0" t="s">
        <v>2067</v>
      </c>
      <c r="AB80" s="1" t="s">
        <v>2071</v>
      </c>
      <c r="AC80" s="0" t="s">
        <v>2067</v>
      </c>
      <c r="AD80" s="0" t="s">
        <v>2067</v>
      </c>
      <c r="AE80" s="0" t="s">
        <v>2067</v>
      </c>
      <c r="AF80" s="0" t="s">
        <v>2067</v>
      </c>
      <c r="AG80" s="0" t="s">
        <v>2067</v>
      </c>
      <c r="AH80" s="0" t="s">
        <v>2067</v>
      </c>
      <c r="AI80" s="0" t="s">
        <v>2067</v>
      </c>
      <c r="AJ80" s="0" t="s">
        <v>2067</v>
      </c>
      <c r="AK80" s="0" t="s">
        <v>2067</v>
      </c>
      <c r="AL80" s="1" t="s">
        <v>2072</v>
      </c>
      <c r="AM80" s="0" t="s">
        <v>2068</v>
      </c>
      <c r="AN80" s="0" t="s">
        <v>2067</v>
      </c>
      <c r="AO80" s="0" t="s">
        <v>2067</v>
      </c>
      <c r="AP80" s="1" t="s">
        <v>2073</v>
      </c>
      <c r="AQ80" s="0" t="s">
        <v>2067</v>
      </c>
    </row>
    <row r="81" customFormat="false" ht="15" hidden="false" customHeight="false" outlineLevel="0" collapsed="false">
      <c r="A81" s="0" t="s">
        <v>2074</v>
      </c>
      <c r="B81" s="0" t="s">
        <v>2074</v>
      </c>
      <c r="C81" s="0" t="s">
        <v>2074</v>
      </c>
      <c r="D81" s="0" t="s">
        <v>2074</v>
      </c>
      <c r="E81" s="0" t="s">
        <v>2074</v>
      </c>
      <c r="F81" s="0" t="s">
        <v>2074</v>
      </c>
      <c r="G81" s="0" t="s">
        <v>2074</v>
      </c>
      <c r="H81" s="0" t="s">
        <v>2074</v>
      </c>
      <c r="I81" s="0" t="s">
        <v>2074</v>
      </c>
      <c r="J81" s="0" t="s">
        <v>2074</v>
      </c>
      <c r="K81" s="0" t="s">
        <v>2074</v>
      </c>
      <c r="L81" s="0" t="s">
        <v>2074</v>
      </c>
      <c r="M81" s="0" t="s">
        <v>2075</v>
      </c>
      <c r="N81" s="0" t="s">
        <v>2074</v>
      </c>
      <c r="O81" s="0" t="s">
        <v>2074</v>
      </c>
      <c r="P81" s="0" t="s">
        <v>2074</v>
      </c>
      <c r="Q81" s="0" t="s">
        <v>2076</v>
      </c>
      <c r="R81" s="0" t="s">
        <v>2074</v>
      </c>
      <c r="S81" s="0" t="s">
        <v>2074</v>
      </c>
      <c r="T81" s="0" t="s">
        <v>2074</v>
      </c>
      <c r="U81" s="0" t="s">
        <v>2074</v>
      </c>
      <c r="V81" s="0" t="s">
        <v>2074</v>
      </c>
      <c r="W81" s="0" t="s">
        <v>2077</v>
      </c>
      <c r="X81" s="0" t="s">
        <v>2074</v>
      </c>
      <c r="Y81" s="0" t="s">
        <v>2074</v>
      </c>
      <c r="Z81" s="0" t="s">
        <v>2074</v>
      </c>
      <c r="AA81" s="0" t="s">
        <v>2074</v>
      </c>
      <c r="AB81" s="1" t="s">
        <v>2078</v>
      </c>
      <c r="AC81" s="0" t="s">
        <v>2074</v>
      </c>
      <c r="AD81" s="0" t="s">
        <v>2074</v>
      </c>
      <c r="AE81" s="0" t="s">
        <v>2074</v>
      </c>
      <c r="AF81" s="0" t="s">
        <v>2074</v>
      </c>
      <c r="AG81" s="0" t="s">
        <v>2074</v>
      </c>
      <c r="AH81" s="0" t="s">
        <v>2074</v>
      </c>
      <c r="AI81" s="0" t="s">
        <v>2074</v>
      </c>
      <c r="AJ81" s="0" t="s">
        <v>2074</v>
      </c>
      <c r="AK81" s="0" t="s">
        <v>2074</v>
      </c>
      <c r="AL81" s="1" t="s">
        <v>2079</v>
      </c>
      <c r="AM81" s="0" t="s">
        <v>2075</v>
      </c>
      <c r="AN81" s="0" t="s">
        <v>2074</v>
      </c>
      <c r="AO81" s="0" t="s">
        <v>2074</v>
      </c>
      <c r="AP81" s="1" t="s">
        <v>2080</v>
      </c>
      <c r="AQ81" s="0" t="s">
        <v>2074</v>
      </c>
    </row>
    <row r="82" customFormat="false" ht="15" hidden="false" customHeight="false" outlineLevel="0" collapsed="false">
      <c r="A82" s="0" t="s">
        <v>2081</v>
      </c>
      <c r="B82" s="0" t="s">
        <v>2081</v>
      </c>
      <c r="C82" s="0" t="s">
        <v>2081</v>
      </c>
      <c r="D82" s="0" t="s">
        <v>2081</v>
      </c>
      <c r="E82" s="0" t="s">
        <v>2081</v>
      </c>
      <c r="F82" s="0" t="s">
        <v>2081</v>
      </c>
      <c r="G82" s="0" t="s">
        <v>2081</v>
      </c>
      <c r="H82" s="0" t="s">
        <v>2081</v>
      </c>
      <c r="I82" s="0" t="s">
        <v>2081</v>
      </c>
      <c r="J82" s="0" t="s">
        <v>2081</v>
      </c>
      <c r="K82" s="0" t="s">
        <v>2081</v>
      </c>
      <c r="L82" s="0" t="s">
        <v>2081</v>
      </c>
      <c r="M82" s="0" t="s">
        <v>2082</v>
      </c>
      <c r="N82" s="0" t="s">
        <v>2081</v>
      </c>
      <c r="O82" s="0" t="s">
        <v>2081</v>
      </c>
      <c r="P82" s="0" t="s">
        <v>2081</v>
      </c>
      <c r="Q82" s="0" t="s">
        <v>2083</v>
      </c>
      <c r="R82" s="0" t="s">
        <v>2081</v>
      </c>
      <c r="S82" s="0" t="s">
        <v>2081</v>
      </c>
      <c r="T82" s="0" t="s">
        <v>2081</v>
      </c>
      <c r="U82" s="0" t="s">
        <v>2081</v>
      </c>
      <c r="V82" s="0" t="s">
        <v>2081</v>
      </c>
      <c r="W82" s="0" t="s">
        <v>2084</v>
      </c>
      <c r="X82" s="0" t="s">
        <v>2081</v>
      </c>
      <c r="Y82" s="0" t="s">
        <v>2081</v>
      </c>
      <c r="Z82" s="0" t="s">
        <v>2085</v>
      </c>
      <c r="AA82" s="0" t="s">
        <v>2081</v>
      </c>
      <c r="AB82" s="1" t="s">
        <v>2086</v>
      </c>
      <c r="AC82" s="0" t="s">
        <v>2081</v>
      </c>
      <c r="AD82" s="0" t="s">
        <v>2081</v>
      </c>
      <c r="AE82" s="0" t="s">
        <v>2081</v>
      </c>
      <c r="AF82" s="0" t="s">
        <v>2081</v>
      </c>
      <c r="AG82" s="0" t="s">
        <v>2081</v>
      </c>
      <c r="AH82" s="0" t="s">
        <v>2081</v>
      </c>
      <c r="AI82" s="0" t="s">
        <v>2081</v>
      </c>
      <c r="AJ82" s="0" t="s">
        <v>2081</v>
      </c>
      <c r="AK82" s="0" t="s">
        <v>2081</v>
      </c>
      <c r="AL82" s="1" t="s">
        <v>2087</v>
      </c>
      <c r="AM82" s="0" t="s">
        <v>2082</v>
      </c>
      <c r="AN82" s="0" t="s">
        <v>2081</v>
      </c>
      <c r="AO82" s="0" t="s">
        <v>2081</v>
      </c>
      <c r="AP82" s="1" t="s">
        <v>2088</v>
      </c>
      <c r="AQ82" s="0" t="s">
        <v>2081</v>
      </c>
    </row>
    <row r="83" customFormat="false" ht="15" hidden="false" customHeight="false" outlineLevel="0" collapsed="false">
      <c r="A83" s="0" t="s">
        <v>2089</v>
      </c>
      <c r="B83" s="0" t="s">
        <v>2089</v>
      </c>
      <c r="C83" s="0" t="s">
        <v>2089</v>
      </c>
      <c r="D83" s="0" t="s">
        <v>2089</v>
      </c>
      <c r="E83" s="0" t="s">
        <v>2089</v>
      </c>
      <c r="F83" s="0" t="s">
        <v>2089</v>
      </c>
      <c r="G83" s="0" t="s">
        <v>2089</v>
      </c>
      <c r="H83" s="0" t="s">
        <v>2089</v>
      </c>
      <c r="I83" s="0" t="s">
        <v>2089</v>
      </c>
      <c r="J83" s="0" t="s">
        <v>2089</v>
      </c>
      <c r="K83" s="0" t="s">
        <v>2089</v>
      </c>
      <c r="L83" s="0" t="s">
        <v>2089</v>
      </c>
      <c r="M83" s="0" t="s">
        <v>2090</v>
      </c>
      <c r="N83" s="0" t="s">
        <v>2089</v>
      </c>
      <c r="O83" s="0" t="s">
        <v>2089</v>
      </c>
      <c r="P83" s="0" t="s">
        <v>2089</v>
      </c>
      <c r="Q83" s="0" t="s">
        <v>2091</v>
      </c>
      <c r="R83" s="0" t="s">
        <v>2089</v>
      </c>
      <c r="S83" s="0" t="s">
        <v>2089</v>
      </c>
      <c r="T83" s="0" t="s">
        <v>2089</v>
      </c>
      <c r="U83" s="0" t="s">
        <v>2089</v>
      </c>
      <c r="V83" s="0" t="s">
        <v>2089</v>
      </c>
      <c r="W83" s="0" t="s">
        <v>2092</v>
      </c>
      <c r="X83" s="0" t="s">
        <v>2089</v>
      </c>
      <c r="Y83" s="0" t="s">
        <v>2089</v>
      </c>
      <c r="Z83" s="0" t="s">
        <v>2093</v>
      </c>
      <c r="AA83" s="0" t="s">
        <v>2089</v>
      </c>
      <c r="AB83" s="1" t="s">
        <v>2094</v>
      </c>
      <c r="AC83" s="0" t="s">
        <v>2089</v>
      </c>
      <c r="AD83" s="0" t="s">
        <v>2089</v>
      </c>
      <c r="AE83" s="0" t="s">
        <v>2089</v>
      </c>
      <c r="AF83" s="0" t="s">
        <v>2089</v>
      </c>
      <c r="AG83" s="0" t="s">
        <v>2089</v>
      </c>
      <c r="AH83" s="0" t="s">
        <v>2089</v>
      </c>
      <c r="AI83" s="0" t="s">
        <v>2089</v>
      </c>
      <c r="AJ83" s="0" t="s">
        <v>2089</v>
      </c>
      <c r="AK83" s="0" t="s">
        <v>2089</v>
      </c>
      <c r="AL83" s="1" t="s">
        <v>2095</v>
      </c>
      <c r="AM83" s="0" t="s">
        <v>2090</v>
      </c>
      <c r="AN83" s="0" t="s">
        <v>2089</v>
      </c>
      <c r="AO83" s="0" t="s">
        <v>2089</v>
      </c>
      <c r="AP83" s="1" t="s">
        <v>2096</v>
      </c>
      <c r="AQ83" s="0" t="s">
        <v>2089</v>
      </c>
    </row>
    <row r="84" customFormat="false" ht="15" hidden="false" customHeight="false" outlineLevel="0" collapsed="false">
      <c r="A84" s="0" t="s">
        <v>2097</v>
      </c>
      <c r="B84" s="0" t="s">
        <v>2097</v>
      </c>
      <c r="C84" s="0" t="s">
        <v>2097</v>
      </c>
      <c r="D84" s="0" t="s">
        <v>2097</v>
      </c>
      <c r="E84" s="0" t="s">
        <v>2097</v>
      </c>
      <c r="F84" s="0" t="s">
        <v>2097</v>
      </c>
      <c r="G84" s="0" t="s">
        <v>2097</v>
      </c>
      <c r="H84" s="0" t="s">
        <v>2097</v>
      </c>
      <c r="I84" s="0" t="s">
        <v>2097</v>
      </c>
      <c r="J84" s="0" t="s">
        <v>2097</v>
      </c>
      <c r="K84" s="0" t="s">
        <v>2097</v>
      </c>
      <c r="L84" s="0" t="s">
        <v>2097</v>
      </c>
      <c r="M84" s="0" t="s">
        <v>2098</v>
      </c>
      <c r="N84" s="0" t="s">
        <v>2097</v>
      </c>
      <c r="O84" s="0" t="s">
        <v>2097</v>
      </c>
      <c r="P84" s="0" t="s">
        <v>2097</v>
      </c>
      <c r="Q84" s="0" t="s">
        <v>2097</v>
      </c>
      <c r="R84" s="0" t="s">
        <v>2097</v>
      </c>
      <c r="S84" s="0" t="s">
        <v>2097</v>
      </c>
      <c r="T84" s="0" t="s">
        <v>2097</v>
      </c>
      <c r="U84" s="0" t="s">
        <v>2097</v>
      </c>
      <c r="V84" s="0" t="s">
        <v>2097</v>
      </c>
      <c r="W84" s="0" t="s">
        <v>2099</v>
      </c>
      <c r="X84" s="0" t="s">
        <v>2097</v>
      </c>
      <c r="Y84" s="0" t="s">
        <v>2097</v>
      </c>
      <c r="Z84" s="0" t="s">
        <v>2100</v>
      </c>
      <c r="AA84" s="0" t="s">
        <v>2097</v>
      </c>
      <c r="AB84" s="1" t="s">
        <v>2101</v>
      </c>
      <c r="AC84" s="0" t="s">
        <v>2097</v>
      </c>
      <c r="AD84" s="0" t="s">
        <v>2097</v>
      </c>
      <c r="AE84" s="0" t="s">
        <v>2097</v>
      </c>
      <c r="AF84" s="0" t="s">
        <v>2097</v>
      </c>
      <c r="AG84" s="0" t="s">
        <v>2097</v>
      </c>
      <c r="AH84" s="0" t="s">
        <v>2097</v>
      </c>
      <c r="AI84" s="0" t="s">
        <v>2097</v>
      </c>
      <c r="AJ84" s="0" t="s">
        <v>2097</v>
      </c>
      <c r="AK84" s="0" t="s">
        <v>2097</v>
      </c>
      <c r="AL84" s="1" t="s">
        <v>2102</v>
      </c>
      <c r="AM84" s="0" t="s">
        <v>2098</v>
      </c>
      <c r="AN84" s="0" t="s">
        <v>2097</v>
      </c>
      <c r="AO84" s="0" t="s">
        <v>2097</v>
      </c>
      <c r="AP84" s="1" t="s">
        <v>2103</v>
      </c>
      <c r="AQ84" s="0" t="s">
        <v>2097</v>
      </c>
    </row>
    <row r="85" customFormat="false" ht="15" hidden="false" customHeight="false" outlineLevel="0" collapsed="false">
      <c r="A85" s="0" t="s">
        <v>2104</v>
      </c>
      <c r="B85" s="0" t="s">
        <v>2104</v>
      </c>
      <c r="C85" s="0" t="s">
        <v>2104</v>
      </c>
      <c r="D85" s="0" t="s">
        <v>2104</v>
      </c>
      <c r="E85" s="0" t="s">
        <v>2104</v>
      </c>
      <c r="F85" s="0" t="s">
        <v>2104</v>
      </c>
      <c r="G85" s="0" t="s">
        <v>2104</v>
      </c>
      <c r="H85" s="0" t="s">
        <v>2104</v>
      </c>
      <c r="I85" s="0" t="s">
        <v>2104</v>
      </c>
      <c r="J85" s="0" t="s">
        <v>2104</v>
      </c>
      <c r="K85" s="0" t="s">
        <v>2104</v>
      </c>
      <c r="L85" s="0" t="s">
        <v>2104</v>
      </c>
      <c r="M85" s="0" t="s">
        <v>2105</v>
      </c>
      <c r="N85" s="0" t="s">
        <v>2104</v>
      </c>
      <c r="O85" s="0" t="s">
        <v>2104</v>
      </c>
      <c r="P85" s="0" t="s">
        <v>2104</v>
      </c>
      <c r="Q85" s="0" t="s">
        <v>2104</v>
      </c>
      <c r="R85" s="0" t="s">
        <v>2104</v>
      </c>
      <c r="S85" s="0" t="s">
        <v>2104</v>
      </c>
      <c r="T85" s="0" t="s">
        <v>2104</v>
      </c>
      <c r="U85" s="0" t="s">
        <v>2104</v>
      </c>
      <c r="V85" s="0" t="s">
        <v>2104</v>
      </c>
      <c r="W85" s="0" t="s">
        <v>2106</v>
      </c>
      <c r="X85" s="0" t="s">
        <v>2104</v>
      </c>
      <c r="Y85" s="0" t="s">
        <v>2104</v>
      </c>
      <c r="Z85" s="0" t="s">
        <v>2100</v>
      </c>
      <c r="AA85" s="0" t="s">
        <v>2104</v>
      </c>
      <c r="AB85" s="1" t="s">
        <v>2107</v>
      </c>
      <c r="AC85" s="0" t="s">
        <v>2104</v>
      </c>
      <c r="AD85" s="0" t="s">
        <v>2104</v>
      </c>
      <c r="AE85" s="0" t="s">
        <v>2104</v>
      </c>
      <c r="AF85" s="0" t="s">
        <v>2104</v>
      </c>
      <c r="AG85" s="0" t="s">
        <v>2104</v>
      </c>
      <c r="AH85" s="0" t="s">
        <v>2104</v>
      </c>
      <c r="AI85" s="0" t="s">
        <v>2104</v>
      </c>
      <c r="AJ85" s="0" t="s">
        <v>2104</v>
      </c>
      <c r="AK85" s="0" t="s">
        <v>2104</v>
      </c>
      <c r="AL85" s="1" t="s">
        <v>2108</v>
      </c>
      <c r="AM85" s="0" t="s">
        <v>2105</v>
      </c>
      <c r="AN85" s="0" t="s">
        <v>2104</v>
      </c>
      <c r="AO85" s="0" t="s">
        <v>2104</v>
      </c>
      <c r="AP85" s="1" t="s">
        <v>2109</v>
      </c>
      <c r="AQ85" s="0" t="s">
        <v>2104</v>
      </c>
    </row>
    <row r="86" customFormat="false" ht="15" hidden="false" customHeight="false" outlineLevel="0" collapsed="false">
      <c r="A86" s="0" t="s">
        <v>2110</v>
      </c>
      <c r="B86" s="0" t="s">
        <v>2111</v>
      </c>
      <c r="C86" s="0" t="s">
        <v>2110</v>
      </c>
      <c r="D86" s="0" t="s">
        <v>2110</v>
      </c>
      <c r="E86" s="0" t="s">
        <v>2112</v>
      </c>
      <c r="F86" s="0" t="s">
        <v>2110</v>
      </c>
      <c r="G86" s="0" t="s">
        <v>2113</v>
      </c>
      <c r="H86" s="0" t="s">
        <v>2114</v>
      </c>
      <c r="I86" s="0" t="s">
        <v>2110</v>
      </c>
      <c r="J86" s="0" t="s">
        <v>2110</v>
      </c>
      <c r="K86" s="0" t="s">
        <v>2115</v>
      </c>
      <c r="L86" s="0" t="s">
        <v>2115</v>
      </c>
      <c r="M86" s="0" t="s">
        <v>2110</v>
      </c>
      <c r="N86" s="0" t="s">
        <v>2110</v>
      </c>
      <c r="O86" s="0" t="s">
        <v>2116</v>
      </c>
      <c r="P86" s="0" t="s">
        <v>2110</v>
      </c>
      <c r="Q86" s="0" t="s">
        <v>2117</v>
      </c>
      <c r="R86" s="0" t="s">
        <v>2110</v>
      </c>
      <c r="S86" s="0" t="s">
        <v>2118</v>
      </c>
      <c r="T86" s="0" t="s">
        <v>2110</v>
      </c>
      <c r="U86" s="0" t="s">
        <v>2110</v>
      </c>
      <c r="V86" s="0" t="s">
        <v>2110</v>
      </c>
      <c r="W86" s="0" t="s">
        <v>2119</v>
      </c>
      <c r="X86" s="0" t="s">
        <v>2120</v>
      </c>
      <c r="Y86" s="0" t="s">
        <v>2121</v>
      </c>
      <c r="Z86" s="0" t="s">
        <v>2122</v>
      </c>
      <c r="AA86" s="0" t="s">
        <v>2115</v>
      </c>
      <c r="AB86" s="1" t="s">
        <v>2123</v>
      </c>
      <c r="AC86" s="0" t="s">
        <v>2110</v>
      </c>
      <c r="AD86" s="0" t="s">
        <v>2110</v>
      </c>
      <c r="AE86" s="0" t="s">
        <v>2124</v>
      </c>
      <c r="AF86" s="0" t="s">
        <v>2110</v>
      </c>
      <c r="AG86" s="0" t="s">
        <v>2125</v>
      </c>
      <c r="AH86" s="0" t="s">
        <v>2115</v>
      </c>
      <c r="AI86" s="0" t="s">
        <v>2110</v>
      </c>
      <c r="AJ86" s="0" t="s">
        <v>2110</v>
      </c>
      <c r="AK86" s="0" t="s">
        <v>2110</v>
      </c>
      <c r="AL86" s="1" t="s">
        <v>2126</v>
      </c>
      <c r="AM86" s="0" t="s">
        <v>2113</v>
      </c>
      <c r="AN86" s="0" t="s">
        <v>2127</v>
      </c>
      <c r="AO86" s="0" t="s">
        <v>2128</v>
      </c>
      <c r="AP86" s="1" t="s">
        <v>2129</v>
      </c>
      <c r="AQ86" s="0" t="s">
        <v>2110</v>
      </c>
    </row>
    <row r="87" customFormat="false" ht="15" hidden="false" customHeight="false" outlineLevel="0" collapsed="false">
      <c r="A87" s="0" t="s">
        <v>2130</v>
      </c>
      <c r="B87" s="0" t="s">
        <v>2131</v>
      </c>
      <c r="C87" s="0" t="s">
        <v>2130</v>
      </c>
      <c r="D87" s="0" t="s">
        <v>2130</v>
      </c>
      <c r="E87" s="0" t="s">
        <v>2132</v>
      </c>
      <c r="F87" s="0" t="s">
        <v>2130</v>
      </c>
      <c r="G87" s="0" t="s">
        <v>2133</v>
      </c>
      <c r="H87" s="0" t="s">
        <v>2134</v>
      </c>
      <c r="I87" s="0" t="s">
        <v>2130</v>
      </c>
      <c r="J87" s="0" t="s">
        <v>2130</v>
      </c>
      <c r="K87" s="0" t="s">
        <v>2135</v>
      </c>
      <c r="L87" s="0" t="s">
        <v>2135</v>
      </c>
      <c r="M87" s="0" t="s">
        <v>2130</v>
      </c>
      <c r="N87" s="0" t="s">
        <v>2130</v>
      </c>
      <c r="O87" s="0" t="s">
        <v>2136</v>
      </c>
      <c r="P87" s="0" t="s">
        <v>2130</v>
      </c>
      <c r="Q87" s="0" t="s">
        <v>2137</v>
      </c>
      <c r="R87" s="0" t="s">
        <v>2130</v>
      </c>
      <c r="S87" s="0" t="s">
        <v>2138</v>
      </c>
      <c r="T87" s="0" t="s">
        <v>2130</v>
      </c>
      <c r="U87" s="0" t="s">
        <v>2130</v>
      </c>
      <c r="V87" s="0" t="s">
        <v>2130</v>
      </c>
      <c r="W87" s="0" t="s">
        <v>2139</v>
      </c>
      <c r="X87" s="0" t="s">
        <v>2140</v>
      </c>
      <c r="Y87" s="0" t="s">
        <v>2141</v>
      </c>
      <c r="Z87" s="0" t="s">
        <v>2142</v>
      </c>
      <c r="AA87" s="0" t="s">
        <v>2135</v>
      </c>
      <c r="AB87" s="1" t="s">
        <v>2143</v>
      </c>
      <c r="AC87" s="0" t="s">
        <v>2130</v>
      </c>
      <c r="AD87" s="0" t="s">
        <v>2130</v>
      </c>
      <c r="AE87" s="0" t="s">
        <v>2144</v>
      </c>
      <c r="AF87" s="0" t="s">
        <v>2130</v>
      </c>
      <c r="AG87" s="0" t="s">
        <v>2145</v>
      </c>
      <c r="AH87" s="0" t="s">
        <v>2135</v>
      </c>
      <c r="AI87" s="0" t="s">
        <v>2130</v>
      </c>
      <c r="AJ87" s="0" t="s">
        <v>2130</v>
      </c>
      <c r="AK87" s="0" t="s">
        <v>2130</v>
      </c>
      <c r="AL87" s="1" t="s">
        <v>2146</v>
      </c>
      <c r="AM87" s="0" t="s">
        <v>2133</v>
      </c>
      <c r="AN87" s="0" t="s">
        <v>2147</v>
      </c>
      <c r="AO87" s="0" t="s">
        <v>2148</v>
      </c>
      <c r="AP87" s="1" t="s">
        <v>2149</v>
      </c>
      <c r="AQ87" s="0" t="s">
        <v>2130</v>
      </c>
    </row>
    <row r="88" customFormat="false" ht="15" hidden="false" customHeight="false" outlineLevel="0" collapsed="false">
      <c r="A88" s="0" t="s">
        <v>2150</v>
      </c>
      <c r="B88" s="0" t="s">
        <v>2151</v>
      </c>
      <c r="C88" s="0" t="s">
        <v>2150</v>
      </c>
      <c r="D88" s="0" t="s">
        <v>2150</v>
      </c>
      <c r="E88" s="0" t="s">
        <v>2152</v>
      </c>
      <c r="F88" s="0" t="s">
        <v>2150</v>
      </c>
      <c r="G88" s="0" t="s">
        <v>2153</v>
      </c>
      <c r="H88" s="0" t="s">
        <v>2154</v>
      </c>
      <c r="I88" s="0" t="s">
        <v>2150</v>
      </c>
      <c r="J88" s="0" t="s">
        <v>2150</v>
      </c>
      <c r="K88" s="0" t="s">
        <v>2155</v>
      </c>
      <c r="L88" s="0" t="s">
        <v>2155</v>
      </c>
      <c r="M88" s="0" t="s">
        <v>2150</v>
      </c>
      <c r="N88" s="0" t="s">
        <v>2150</v>
      </c>
      <c r="O88" s="0" t="s">
        <v>2156</v>
      </c>
      <c r="P88" s="0" t="s">
        <v>2150</v>
      </c>
      <c r="Q88" s="0" t="s">
        <v>2157</v>
      </c>
      <c r="R88" s="0" t="s">
        <v>2150</v>
      </c>
      <c r="S88" s="0" t="s">
        <v>2158</v>
      </c>
      <c r="T88" s="0" t="s">
        <v>2150</v>
      </c>
      <c r="U88" s="0" t="s">
        <v>2150</v>
      </c>
      <c r="V88" s="0" t="s">
        <v>2150</v>
      </c>
      <c r="W88" s="0" t="s">
        <v>2159</v>
      </c>
      <c r="X88" s="0" t="s">
        <v>2160</v>
      </c>
      <c r="Y88" s="0" t="s">
        <v>2161</v>
      </c>
      <c r="Z88" s="0" t="s">
        <v>2162</v>
      </c>
      <c r="AA88" s="0" t="s">
        <v>2155</v>
      </c>
      <c r="AB88" s="1" t="s">
        <v>2163</v>
      </c>
      <c r="AC88" s="0" t="s">
        <v>2150</v>
      </c>
      <c r="AD88" s="0" t="s">
        <v>2150</v>
      </c>
      <c r="AE88" s="0" t="s">
        <v>2164</v>
      </c>
      <c r="AF88" s="0" t="s">
        <v>2150</v>
      </c>
      <c r="AG88" s="0" t="s">
        <v>2165</v>
      </c>
      <c r="AH88" s="0" t="s">
        <v>2155</v>
      </c>
      <c r="AI88" s="0" t="s">
        <v>2150</v>
      </c>
      <c r="AJ88" s="0" t="s">
        <v>2150</v>
      </c>
      <c r="AK88" s="0" t="s">
        <v>2150</v>
      </c>
      <c r="AL88" s="1" t="s">
        <v>2166</v>
      </c>
      <c r="AM88" s="0" t="s">
        <v>2153</v>
      </c>
      <c r="AN88" s="0" t="s">
        <v>2167</v>
      </c>
      <c r="AO88" s="0" t="s">
        <v>2168</v>
      </c>
      <c r="AP88" s="1" t="s">
        <v>2169</v>
      </c>
      <c r="AQ88" s="0" t="s">
        <v>2150</v>
      </c>
    </row>
    <row r="89" customFormat="false" ht="15" hidden="false" customHeight="false" outlineLevel="0" collapsed="false">
      <c r="A89" s="0" t="s">
        <v>2170</v>
      </c>
      <c r="B89" s="0" t="s">
        <v>2171</v>
      </c>
      <c r="C89" s="0" t="s">
        <v>2170</v>
      </c>
      <c r="D89" s="0" t="s">
        <v>2170</v>
      </c>
      <c r="E89" s="0" t="s">
        <v>2172</v>
      </c>
      <c r="F89" s="0" t="s">
        <v>2170</v>
      </c>
      <c r="G89" s="0" t="s">
        <v>2173</v>
      </c>
      <c r="H89" s="0" t="s">
        <v>2174</v>
      </c>
      <c r="I89" s="0" t="s">
        <v>2170</v>
      </c>
      <c r="J89" s="0" t="s">
        <v>2170</v>
      </c>
      <c r="K89" s="0" t="s">
        <v>2175</v>
      </c>
      <c r="L89" s="0" t="s">
        <v>2175</v>
      </c>
      <c r="M89" s="0" t="s">
        <v>2170</v>
      </c>
      <c r="N89" s="0" t="s">
        <v>2170</v>
      </c>
      <c r="O89" s="0" t="s">
        <v>2176</v>
      </c>
      <c r="P89" s="0" t="s">
        <v>2170</v>
      </c>
      <c r="Q89" s="0" t="s">
        <v>2177</v>
      </c>
      <c r="R89" s="0" t="s">
        <v>2170</v>
      </c>
      <c r="S89" s="0" t="s">
        <v>2178</v>
      </c>
      <c r="T89" s="0" t="s">
        <v>2170</v>
      </c>
      <c r="U89" s="0" t="s">
        <v>2170</v>
      </c>
      <c r="V89" s="0" t="s">
        <v>2170</v>
      </c>
      <c r="W89" s="0" t="s">
        <v>2179</v>
      </c>
      <c r="X89" s="0" t="s">
        <v>2180</v>
      </c>
      <c r="Y89" s="0" t="s">
        <v>2181</v>
      </c>
      <c r="Z89" s="0" t="s">
        <v>2182</v>
      </c>
      <c r="AA89" s="0" t="s">
        <v>2175</v>
      </c>
      <c r="AB89" s="1" t="s">
        <v>2183</v>
      </c>
      <c r="AC89" s="0" t="s">
        <v>2170</v>
      </c>
      <c r="AD89" s="0" t="s">
        <v>2170</v>
      </c>
      <c r="AE89" s="0" t="s">
        <v>2184</v>
      </c>
      <c r="AF89" s="0" t="s">
        <v>2170</v>
      </c>
      <c r="AG89" s="0" t="s">
        <v>2185</v>
      </c>
      <c r="AH89" s="0" t="s">
        <v>2175</v>
      </c>
      <c r="AI89" s="0" t="s">
        <v>2170</v>
      </c>
      <c r="AJ89" s="0" t="s">
        <v>2170</v>
      </c>
      <c r="AK89" s="0" t="s">
        <v>2170</v>
      </c>
      <c r="AL89" s="1" t="s">
        <v>2186</v>
      </c>
      <c r="AM89" s="0" t="s">
        <v>2173</v>
      </c>
      <c r="AN89" s="0" t="s">
        <v>2187</v>
      </c>
      <c r="AO89" s="0" t="s">
        <v>2188</v>
      </c>
      <c r="AP89" s="1" t="s">
        <v>2189</v>
      </c>
      <c r="AQ89" s="0" t="s">
        <v>2170</v>
      </c>
    </row>
    <row r="90" customFormat="false" ht="15" hidden="false" customHeight="false" outlineLevel="0" collapsed="false">
      <c r="A90" s="0" t="s">
        <v>2190</v>
      </c>
      <c r="B90" s="0" t="s">
        <v>2191</v>
      </c>
      <c r="C90" s="0" t="s">
        <v>2190</v>
      </c>
      <c r="D90" s="0" t="s">
        <v>2190</v>
      </c>
      <c r="E90" s="0" t="s">
        <v>2192</v>
      </c>
      <c r="F90" s="0" t="s">
        <v>2190</v>
      </c>
      <c r="G90" s="0" t="s">
        <v>2193</v>
      </c>
      <c r="H90" s="0" t="s">
        <v>2194</v>
      </c>
      <c r="I90" s="0" t="s">
        <v>2190</v>
      </c>
      <c r="J90" s="0" t="s">
        <v>2190</v>
      </c>
      <c r="K90" s="0" t="s">
        <v>2195</v>
      </c>
      <c r="L90" s="0" t="s">
        <v>2195</v>
      </c>
      <c r="M90" s="0" t="s">
        <v>2190</v>
      </c>
      <c r="N90" s="0" t="s">
        <v>2190</v>
      </c>
      <c r="O90" s="0" t="s">
        <v>2196</v>
      </c>
      <c r="P90" s="0" t="s">
        <v>2190</v>
      </c>
      <c r="Q90" s="0" t="s">
        <v>2197</v>
      </c>
      <c r="R90" s="0" t="s">
        <v>2190</v>
      </c>
      <c r="S90" s="0" t="s">
        <v>2198</v>
      </c>
      <c r="T90" s="0" t="s">
        <v>2190</v>
      </c>
      <c r="U90" s="0" t="s">
        <v>2190</v>
      </c>
      <c r="V90" s="0" t="s">
        <v>2190</v>
      </c>
      <c r="W90" s="0" t="s">
        <v>2199</v>
      </c>
      <c r="X90" s="0" t="s">
        <v>2200</v>
      </c>
      <c r="Y90" s="0" t="s">
        <v>2201</v>
      </c>
      <c r="Z90" s="0" t="s">
        <v>2202</v>
      </c>
      <c r="AA90" s="0" t="s">
        <v>2195</v>
      </c>
      <c r="AB90" s="1" t="s">
        <v>2203</v>
      </c>
      <c r="AC90" s="0" t="s">
        <v>2190</v>
      </c>
      <c r="AD90" s="0" t="s">
        <v>2190</v>
      </c>
      <c r="AE90" s="0" t="s">
        <v>2204</v>
      </c>
      <c r="AF90" s="0" t="s">
        <v>2190</v>
      </c>
      <c r="AG90" s="0" t="s">
        <v>2205</v>
      </c>
      <c r="AH90" s="0" t="s">
        <v>2195</v>
      </c>
      <c r="AI90" s="0" t="s">
        <v>2190</v>
      </c>
      <c r="AJ90" s="0" t="s">
        <v>2190</v>
      </c>
      <c r="AK90" s="0" t="s">
        <v>2190</v>
      </c>
      <c r="AL90" s="1" t="s">
        <v>2206</v>
      </c>
      <c r="AM90" s="0" t="s">
        <v>2193</v>
      </c>
      <c r="AN90" s="0" t="s">
        <v>2207</v>
      </c>
      <c r="AO90" s="0" t="s">
        <v>2208</v>
      </c>
      <c r="AP90" s="1" t="s">
        <v>2209</v>
      </c>
      <c r="AQ90" s="0" t="s">
        <v>2190</v>
      </c>
    </row>
    <row r="91" customFormat="false" ht="15" hidden="false" customHeight="false" outlineLevel="0" collapsed="false">
      <c r="A91" s="0" t="s">
        <v>2210</v>
      </c>
      <c r="B91" s="0" t="s">
        <v>2211</v>
      </c>
      <c r="C91" s="0" t="s">
        <v>2210</v>
      </c>
      <c r="D91" s="0" t="s">
        <v>2210</v>
      </c>
      <c r="E91" s="0" t="s">
        <v>2212</v>
      </c>
      <c r="F91" s="0" t="s">
        <v>2210</v>
      </c>
      <c r="G91" s="0" t="s">
        <v>2213</v>
      </c>
      <c r="H91" s="0" t="s">
        <v>2214</v>
      </c>
      <c r="I91" s="0" t="s">
        <v>2210</v>
      </c>
      <c r="J91" s="0" t="s">
        <v>2210</v>
      </c>
      <c r="K91" s="0" t="s">
        <v>2215</v>
      </c>
      <c r="L91" s="0" t="s">
        <v>2215</v>
      </c>
      <c r="M91" s="0" t="s">
        <v>2210</v>
      </c>
      <c r="N91" s="0" t="s">
        <v>2210</v>
      </c>
      <c r="O91" s="0" t="s">
        <v>2216</v>
      </c>
      <c r="P91" s="0" t="s">
        <v>2210</v>
      </c>
      <c r="Q91" s="0" t="s">
        <v>2217</v>
      </c>
      <c r="R91" s="0" t="s">
        <v>2210</v>
      </c>
      <c r="S91" s="0" t="s">
        <v>2218</v>
      </c>
      <c r="T91" s="0" t="s">
        <v>2210</v>
      </c>
      <c r="U91" s="0" t="s">
        <v>2210</v>
      </c>
      <c r="V91" s="0" t="s">
        <v>2210</v>
      </c>
      <c r="W91" s="0" t="s">
        <v>2219</v>
      </c>
      <c r="X91" s="0" t="s">
        <v>2220</v>
      </c>
      <c r="Y91" s="0" t="s">
        <v>2221</v>
      </c>
      <c r="Z91" s="0" t="s">
        <v>2222</v>
      </c>
      <c r="AA91" s="0" t="s">
        <v>2215</v>
      </c>
      <c r="AB91" s="1" t="s">
        <v>2223</v>
      </c>
      <c r="AC91" s="0" t="s">
        <v>2210</v>
      </c>
      <c r="AD91" s="0" t="s">
        <v>2210</v>
      </c>
      <c r="AE91" s="0" t="s">
        <v>2224</v>
      </c>
      <c r="AF91" s="0" t="s">
        <v>2210</v>
      </c>
      <c r="AG91" s="0" t="s">
        <v>2225</v>
      </c>
      <c r="AH91" s="0" t="s">
        <v>2215</v>
      </c>
      <c r="AI91" s="0" t="s">
        <v>2210</v>
      </c>
      <c r="AJ91" s="0" t="s">
        <v>2210</v>
      </c>
      <c r="AK91" s="0" t="s">
        <v>2210</v>
      </c>
      <c r="AL91" s="1" t="s">
        <v>2226</v>
      </c>
      <c r="AM91" s="0" t="s">
        <v>2213</v>
      </c>
      <c r="AN91" s="0" t="s">
        <v>2227</v>
      </c>
      <c r="AO91" s="0" t="s">
        <v>2228</v>
      </c>
      <c r="AP91" s="1" t="s">
        <v>2229</v>
      </c>
      <c r="AQ91" s="0" t="s">
        <v>2210</v>
      </c>
    </row>
    <row r="92" customFormat="false" ht="15" hidden="false" customHeight="false" outlineLevel="0" collapsed="false">
      <c r="A92" s="0" t="s">
        <v>2230</v>
      </c>
      <c r="B92" s="0" t="s">
        <v>2231</v>
      </c>
      <c r="C92" s="0" t="s">
        <v>2230</v>
      </c>
      <c r="D92" s="0" t="s">
        <v>2230</v>
      </c>
      <c r="E92" s="0" t="s">
        <v>2232</v>
      </c>
      <c r="F92" s="0" t="s">
        <v>2230</v>
      </c>
      <c r="G92" s="0" t="s">
        <v>2233</v>
      </c>
      <c r="H92" s="0" t="s">
        <v>2234</v>
      </c>
      <c r="I92" s="0" t="s">
        <v>2230</v>
      </c>
      <c r="J92" s="0" t="s">
        <v>2230</v>
      </c>
      <c r="K92" s="0" t="s">
        <v>2235</v>
      </c>
      <c r="L92" s="0" t="s">
        <v>2235</v>
      </c>
      <c r="M92" s="0" t="s">
        <v>2230</v>
      </c>
      <c r="N92" s="0" t="s">
        <v>2230</v>
      </c>
      <c r="O92" s="0" t="s">
        <v>2236</v>
      </c>
      <c r="P92" s="0" t="s">
        <v>2230</v>
      </c>
      <c r="Q92" s="0" t="s">
        <v>2237</v>
      </c>
      <c r="R92" s="0" t="s">
        <v>2230</v>
      </c>
      <c r="S92" s="0" t="s">
        <v>2238</v>
      </c>
      <c r="T92" s="0" t="s">
        <v>2230</v>
      </c>
      <c r="U92" s="0" t="s">
        <v>2230</v>
      </c>
      <c r="V92" s="0" t="s">
        <v>2230</v>
      </c>
      <c r="W92" s="0" t="s">
        <v>2239</v>
      </c>
      <c r="X92" s="0" t="s">
        <v>2240</v>
      </c>
      <c r="Y92" s="0" t="s">
        <v>2241</v>
      </c>
      <c r="Z92" s="0" t="s">
        <v>2242</v>
      </c>
      <c r="AA92" s="0" t="s">
        <v>2235</v>
      </c>
      <c r="AB92" s="1" t="s">
        <v>2243</v>
      </c>
      <c r="AC92" s="0" t="s">
        <v>2230</v>
      </c>
      <c r="AD92" s="0" t="s">
        <v>2230</v>
      </c>
      <c r="AE92" s="0" t="s">
        <v>2244</v>
      </c>
      <c r="AF92" s="0" t="s">
        <v>2230</v>
      </c>
      <c r="AG92" s="0" t="s">
        <v>2245</v>
      </c>
      <c r="AH92" s="0" t="s">
        <v>2235</v>
      </c>
      <c r="AI92" s="0" t="s">
        <v>2230</v>
      </c>
      <c r="AJ92" s="0" t="s">
        <v>2230</v>
      </c>
      <c r="AK92" s="0" t="s">
        <v>2230</v>
      </c>
      <c r="AL92" s="1" t="s">
        <v>2246</v>
      </c>
      <c r="AM92" s="0" t="s">
        <v>2233</v>
      </c>
      <c r="AN92" s="0" t="s">
        <v>2247</v>
      </c>
      <c r="AO92" s="0" t="s">
        <v>2248</v>
      </c>
      <c r="AP92" s="1" t="s">
        <v>2249</v>
      </c>
      <c r="AQ92" s="0" t="s">
        <v>2230</v>
      </c>
    </row>
    <row r="93" customFormat="false" ht="15" hidden="false" customHeight="false" outlineLevel="0" collapsed="false">
      <c r="A93" s="0" t="s">
        <v>2250</v>
      </c>
      <c r="B93" s="0" t="s">
        <v>2251</v>
      </c>
      <c r="C93" s="0" t="s">
        <v>2250</v>
      </c>
      <c r="D93" s="0" t="s">
        <v>2250</v>
      </c>
      <c r="E93" s="0" t="s">
        <v>2252</v>
      </c>
      <c r="F93" s="0" t="s">
        <v>2250</v>
      </c>
      <c r="G93" s="0" t="s">
        <v>2253</v>
      </c>
      <c r="H93" s="0" t="s">
        <v>2254</v>
      </c>
      <c r="I93" s="0" t="s">
        <v>2250</v>
      </c>
      <c r="J93" s="0" t="s">
        <v>2250</v>
      </c>
      <c r="K93" s="0" t="s">
        <v>2255</v>
      </c>
      <c r="L93" s="0" t="s">
        <v>2255</v>
      </c>
      <c r="M93" s="0" t="s">
        <v>2250</v>
      </c>
      <c r="N93" s="0" t="s">
        <v>2250</v>
      </c>
      <c r="O93" s="0" t="s">
        <v>2256</v>
      </c>
      <c r="P93" s="0" t="s">
        <v>2250</v>
      </c>
      <c r="Q93" s="0" t="s">
        <v>2257</v>
      </c>
      <c r="R93" s="0" t="s">
        <v>2250</v>
      </c>
      <c r="S93" s="0" t="s">
        <v>2258</v>
      </c>
      <c r="T93" s="0" t="s">
        <v>2250</v>
      </c>
      <c r="U93" s="0" t="s">
        <v>2250</v>
      </c>
      <c r="V93" s="0" t="s">
        <v>2250</v>
      </c>
      <c r="W93" s="0" t="s">
        <v>2259</v>
      </c>
      <c r="X93" s="0" t="s">
        <v>2260</v>
      </c>
      <c r="Y93" s="0" t="s">
        <v>2261</v>
      </c>
      <c r="Z93" s="0" t="s">
        <v>2262</v>
      </c>
      <c r="AA93" s="0" t="s">
        <v>2255</v>
      </c>
      <c r="AB93" s="1" t="s">
        <v>2263</v>
      </c>
      <c r="AC93" s="0" t="s">
        <v>2250</v>
      </c>
      <c r="AD93" s="0" t="s">
        <v>2250</v>
      </c>
      <c r="AE93" s="0" t="s">
        <v>2264</v>
      </c>
      <c r="AF93" s="0" t="s">
        <v>2250</v>
      </c>
      <c r="AG93" s="0" t="s">
        <v>2265</v>
      </c>
      <c r="AH93" s="0" t="s">
        <v>2255</v>
      </c>
      <c r="AI93" s="0" t="s">
        <v>2250</v>
      </c>
      <c r="AJ93" s="0" t="s">
        <v>2250</v>
      </c>
      <c r="AK93" s="0" t="s">
        <v>2250</v>
      </c>
      <c r="AL93" s="1" t="s">
        <v>2266</v>
      </c>
      <c r="AM93" s="0" t="s">
        <v>2253</v>
      </c>
      <c r="AN93" s="0" t="s">
        <v>2267</v>
      </c>
      <c r="AO93" s="0" t="s">
        <v>2268</v>
      </c>
      <c r="AP93" s="1" t="s">
        <v>2269</v>
      </c>
      <c r="AQ93" s="0" t="s">
        <v>2250</v>
      </c>
    </row>
    <row r="94" customFormat="false" ht="15" hidden="false" customHeight="false" outlineLevel="0" collapsed="false">
      <c r="A94" s="0" t="s">
        <v>2270</v>
      </c>
      <c r="B94" s="0" t="s">
        <v>2271</v>
      </c>
      <c r="C94" s="0" t="s">
        <v>2270</v>
      </c>
      <c r="D94" s="0" t="s">
        <v>2270</v>
      </c>
      <c r="E94" s="0" t="s">
        <v>2272</v>
      </c>
      <c r="F94" s="0" t="s">
        <v>2270</v>
      </c>
      <c r="G94" s="0" t="s">
        <v>2273</v>
      </c>
      <c r="H94" s="0" t="s">
        <v>2274</v>
      </c>
      <c r="I94" s="0" t="s">
        <v>2270</v>
      </c>
      <c r="J94" s="0" t="s">
        <v>2270</v>
      </c>
      <c r="K94" s="0" t="s">
        <v>2275</v>
      </c>
      <c r="L94" s="0" t="s">
        <v>2275</v>
      </c>
      <c r="M94" s="0" t="s">
        <v>2270</v>
      </c>
      <c r="N94" s="0" t="s">
        <v>2270</v>
      </c>
      <c r="O94" s="0" t="s">
        <v>2276</v>
      </c>
      <c r="P94" s="0" t="s">
        <v>2270</v>
      </c>
      <c r="Q94" s="0" t="s">
        <v>2277</v>
      </c>
      <c r="R94" s="0" t="s">
        <v>2270</v>
      </c>
      <c r="S94" s="0" t="s">
        <v>2278</v>
      </c>
      <c r="T94" s="0" t="s">
        <v>2270</v>
      </c>
      <c r="U94" s="0" t="s">
        <v>2270</v>
      </c>
      <c r="V94" s="0" t="s">
        <v>2270</v>
      </c>
      <c r="W94" s="0" t="s">
        <v>2279</v>
      </c>
      <c r="X94" s="0" t="s">
        <v>2280</v>
      </c>
      <c r="Y94" s="0" t="s">
        <v>2281</v>
      </c>
      <c r="Z94" s="0" t="s">
        <v>2282</v>
      </c>
      <c r="AA94" s="0" t="s">
        <v>2275</v>
      </c>
      <c r="AB94" s="1" t="s">
        <v>2283</v>
      </c>
      <c r="AC94" s="0" t="s">
        <v>2270</v>
      </c>
      <c r="AD94" s="0" t="s">
        <v>2270</v>
      </c>
      <c r="AE94" s="0" t="s">
        <v>2284</v>
      </c>
      <c r="AF94" s="0" t="s">
        <v>2270</v>
      </c>
      <c r="AG94" s="0" t="s">
        <v>2285</v>
      </c>
      <c r="AH94" s="0" t="s">
        <v>2275</v>
      </c>
      <c r="AI94" s="0" t="s">
        <v>2270</v>
      </c>
      <c r="AJ94" s="0" t="s">
        <v>2270</v>
      </c>
      <c r="AK94" s="0" t="s">
        <v>2270</v>
      </c>
      <c r="AL94" s="1" t="s">
        <v>2286</v>
      </c>
      <c r="AM94" s="0" t="s">
        <v>2273</v>
      </c>
      <c r="AN94" s="0" t="s">
        <v>2287</v>
      </c>
      <c r="AO94" s="0" t="s">
        <v>2288</v>
      </c>
      <c r="AP94" s="1" t="s">
        <v>2289</v>
      </c>
      <c r="AQ94" s="0" t="s">
        <v>2270</v>
      </c>
    </row>
    <row r="95" customFormat="false" ht="15" hidden="false" customHeight="false" outlineLevel="0" collapsed="false">
      <c r="A95" s="0" t="s">
        <v>2290</v>
      </c>
      <c r="B95" s="0" t="s">
        <v>2291</v>
      </c>
      <c r="C95" s="0" t="s">
        <v>2290</v>
      </c>
      <c r="D95" s="0" t="s">
        <v>2290</v>
      </c>
      <c r="E95" s="0" t="s">
        <v>2292</v>
      </c>
      <c r="F95" s="0" t="s">
        <v>2290</v>
      </c>
      <c r="G95" s="0" t="s">
        <v>2293</v>
      </c>
      <c r="H95" s="0" t="s">
        <v>2294</v>
      </c>
      <c r="I95" s="0" t="s">
        <v>2290</v>
      </c>
      <c r="J95" s="0" t="s">
        <v>2290</v>
      </c>
      <c r="K95" s="0" t="s">
        <v>2295</v>
      </c>
      <c r="L95" s="0" t="s">
        <v>2295</v>
      </c>
      <c r="M95" s="0" t="s">
        <v>2290</v>
      </c>
      <c r="N95" s="0" t="s">
        <v>2290</v>
      </c>
      <c r="O95" s="0" t="s">
        <v>2296</v>
      </c>
      <c r="P95" s="0" t="s">
        <v>2290</v>
      </c>
      <c r="Q95" s="0" t="s">
        <v>2297</v>
      </c>
      <c r="R95" s="0" t="s">
        <v>2290</v>
      </c>
      <c r="S95" s="0" t="s">
        <v>2298</v>
      </c>
      <c r="T95" s="0" t="s">
        <v>2290</v>
      </c>
      <c r="U95" s="0" t="s">
        <v>2290</v>
      </c>
      <c r="V95" s="0" t="s">
        <v>2290</v>
      </c>
      <c r="W95" s="0" t="s">
        <v>2299</v>
      </c>
      <c r="X95" s="0" t="s">
        <v>2300</v>
      </c>
      <c r="Y95" s="0" t="s">
        <v>2301</v>
      </c>
      <c r="Z95" s="0" t="s">
        <v>2302</v>
      </c>
      <c r="AA95" s="0" t="s">
        <v>2295</v>
      </c>
      <c r="AB95" s="1" t="s">
        <v>2303</v>
      </c>
      <c r="AC95" s="0" t="s">
        <v>2290</v>
      </c>
      <c r="AD95" s="0" t="s">
        <v>2290</v>
      </c>
      <c r="AE95" s="0" t="s">
        <v>2304</v>
      </c>
      <c r="AF95" s="0" t="s">
        <v>2290</v>
      </c>
      <c r="AG95" s="0" t="s">
        <v>2305</v>
      </c>
      <c r="AH95" s="0" t="s">
        <v>2295</v>
      </c>
      <c r="AI95" s="0" t="s">
        <v>2290</v>
      </c>
      <c r="AJ95" s="0" t="s">
        <v>2290</v>
      </c>
      <c r="AK95" s="0" t="s">
        <v>2290</v>
      </c>
      <c r="AL95" s="1" t="s">
        <v>2306</v>
      </c>
      <c r="AM95" s="0" t="s">
        <v>2293</v>
      </c>
      <c r="AN95" s="0" t="s">
        <v>2307</v>
      </c>
      <c r="AO95" s="0" t="s">
        <v>2308</v>
      </c>
      <c r="AP95" s="1" t="s">
        <v>2309</v>
      </c>
      <c r="AQ95" s="0" t="s">
        <v>2290</v>
      </c>
    </row>
    <row r="96" customFormat="false" ht="15" hidden="false" customHeight="false" outlineLevel="0" collapsed="false">
      <c r="A96" s="0" t="s">
        <v>2310</v>
      </c>
      <c r="B96" s="0" t="s">
        <v>2311</v>
      </c>
      <c r="C96" s="0" t="s">
        <v>2310</v>
      </c>
      <c r="D96" s="0" t="s">
        <v>2310</v>
      </c>
      <c r="E96" s="0" t="s">
        <v>2312</v>
      </c>
      <c r="F96" s="0" t="s">
        <v>2310</v>
      </c>
      <c r="G96" s="0" t="s">
        <v>2313</v>
      </c>
      <c r="H96" s="0" t="s">
        <v>2314</v>
      </c>
      <c r="I96" s="0" t="s">
        <v>2310</v>
      </c>
      <c r="J96" s="0" t="s">
        <v>2310</v>
      </c>
      <c r="K96" s="0" t="s">
        <v>2315</v>
      </c>
      <c r="L96" s="0" t="s">
        <v>2315</v>
      </c>
      <c r="M96" s="0" t="s">
        <v>2310</v>
      </c>
      <c r="N96" s="0" t="s">
        <v>2310</v>
      </c>
      <c r="O96" s="0" t="s">
        <v>2316</v>
      </c>
      <c r="P96" s="0" t="s">
        <v>2310</v>
      </c>
      <c r="Q96" s="0" t="s">
        <v>2317</v>
      </c>
      <c r="R96" s="0" t="s">
        <v>2310</v>
      </c>
      <c r="S96" s="0" t="s">
        <v>2318</v>
      </c>
      <c r="T96" s="0" t="s">
        <v>2310</v>
      </c>
      <c r="U96" s="0" t="s">
        <v>2310</v>
      </c>
      <c r="V96" s="0" t="s">
        <v>2310</v>
      </c>
      <c r="W96" s="0" t="s">
        <v>2319</v>
      </c>
      <c r="X96" s="0" t="s">
        <v>2320</v>
      </c>
      <c r="Y96" s="0" t="s">
        <v>2321</v>
      </c>
      <c r="Z96" s="0" t="s">
        <v>2322</v>
      </c>
      <c r="AA96" s="0" t="s">
        <v>2315</v>
      </c>
      <c r="AB96" s="1" t="s">
        <v>2323</v>
      </c>
      <c r="AC96" s="0" t="s">
        <v>2310</v>
      </c>
      <c r="AD96" s="0" t="s">
        <v>2310</v>
      </c>
      <c r="AE96" s="0" t="s">
        <v>2324</v>
      </c>
      <c r="AF96" s="0" t="s">
        <v>2310</v>
      </c>
      <c r="AG96" s="0" t="s">
        <v>2325</v>
      </c>
      <c r="AH96" s="0" t="s">
        <v>2315</v>
      </c>
      <c r="AI96" s="0" t="s">
        <v>2310</v>
      </c>
      <c r="AJ96" s="0" t="s">
        <v>2310</v>
      </c>
      <c r="AK96" s="0" t="s">
        <v>2310</v>
      </c>
      <c r="AL96" s="1" t="s">
        <v>2326</v>
      </c>
      <c r="AM96" s="0" t="s">
        <v>2313</v>
      </c>
      <c r="AN96" s="0" t="s">
        <v>2327</v>
      </c>
      <c r="AO96" s="0" t="s">
        <v>2328</v>
      </c>
      <c r="AP96" s="1" t="s">
        <v>2329</v>
      </c>
      <c r="AQ96" s="0" t="s">
        <v>2310</v>
      </c>
    </row>
    <row r="97" customFormat="false" ht="15" hidden="false" customHeight="false" outlineLevel="0" collapsed="false">
      <c r="A97" s="0" t="s">
        <v>2330</v>
      </c>
      <c r="B97" s="0" t="s">
        <v>2331</v>
      </c>
      <c r="C97" s="0" t="s">
        <v>2330</v>
      </c>
      <c r="D97" s="0" t="s">
        <v>2330</v>
      </c>
      <c r="E97" s="0" t="s">
        <v>2332</v>
      </c>
      <c r="F97" s="0" t="s">
        <v>2330</v>
      </c>
      <c r="G97" s="0" t="s">
        <v>2333</v>
      </c>
      <c r="H97" s="0" t="s">
        <v>2334</v>
      </c>
      <c r="I97" s="0" t="s">
        <v>2330</v>
      </c>
      <c r="J97" s="0" t="s">
        <v>2330</v>
      </c>
      <c r="K97" s="0" t="s">
        <v>2335</v>
      </c>
      <c r="L97" s="0" t="s">
        <v>2335</v>
      </c>
      <c r="M97" s="0" t="s">
        <v>2330</v>
      </c>
      <c r="N97" s="0" t="s">
        <v>2330</v>
      </c>
      <c r="O97" s="0" t="s">
        <v>2336</v>
      </c>
      <c r="P97" s="0" t="s">
        <v>2330</v>
      </c>
      <c r="Q97" s="0" t="s">
        <v>2337</v>
      </c>
      <c r="R97" s="0" t="s">
        <v>2330</v>
      </c>
      <c r="S97" s="0" t="s">
        <v>2338</v>
      </c>
      <c r="T97" s="0" t="s">
        <v>2330</v>
      </c>
      <c r="U97" s="0" t="s">
        <v>2330</v>
      </c>
      <c r="V97" s="0" t="s">
        <v>2330</v>
      </c>
      <c r="W97" s="0" t="s">
        <v>2339</v>
      </c>
      <c r="X97" s="0" t="s">
        <v>2340</v>
      </c>
      <c r="Y97" s="0" t="s">
        <v>2341</v>
      </c>
      <c r="Z97" s="0" t="s">
        <v>2342</v>
      </c>
      <c r="AA97" s="0" t="s">
        <v>2335</v>
      </c>
      <c r="AB97" s="1" t="s">
        <v>2343</v>
      </c>
      <c r="AC97" s="0" t="s">
        <v>2330</v>
      </c>
      <c r="AD97" s="0" t="s">
        <v>2330</v>
      </c>
      <c r="AE97" s="0" t="s">
        <v>2344</v>
      </c>
      <c r="AF97" s="0" t="s">
        <v>2330</v>
      </c>
      <c r="AG97" s="0" t="s">
        <v>2345</v>
      </c>
      <c r="AH97" s="0" t="s">
        <v>2335</v>
      </c>
      <c r="AI97" s="0" t="s">
        <v>2330</v>
      </c>
      <c r="AJ97" s="0" t="s">
        <v>2330</v>
      </c>
      <c r="AK97" s="0" t="s">
        <v>2330</v>
      </c>
      <c r="AL97" s="1" t="s">
        <v>2346</v>
      </c>
      <c r="AM97" s="0" t="s">
        <v>2333</v>
      </c>
      <c r="AN97" s="0" t="s">
        <v>2347</v>
      </c>
      <c r="AO97" s="0" t="s">
        <v>2348</v>
      </c>
      <c r="AP97" s="1" t="s">
        <v>2349</v>
      </c>
      <c r="AQ97" s="0" t="s">
        <v>2330</v>
      </c>
    </row>
    <row r="98" customFormat="false" ht="15" hidden="false" customHeight="false" outlineLevel="0" collapsed="false">
      <c r="A98" s="0" t="s">
        <v>2350</v>
      </c>
      <c r="B98" s="0" t="s">
        <v>2351</v>
      </c>
      <c r="C98" s="0" t="s">
        <v>2350</v>
      </c>
      <c r="D98" s="0" t="s">
        <v>2350</v>
      </c>
      <c r="E98" s="0" t="s">
        <v>2352</v>
      </c>
      <c r="F98" s="0" t="s">
        <v>2350</v>
      </c>
      <c r="G98" s="0" t="s">
        <v>2353</v>
      </c>
      <c r="H98" s="0" t="s">
        <v>2354</v>
      </c>
      <c r="I98" s="0" t="s">
        <v>2350</v>
      </c>
      <c r="J98" s="0" t="s">
        <v>2350</v>
      </c>
      <c r="K98" s="0" t="s">
        <v>2355</v>
      </c>
      <c r="L98" s="0" t="s">
        <v>2355</v>
      </c>
      <c r="M98" s="0" t="s">
        <v>2350</v>
      </c>
      <c r="N98" s="0" t="s">
        <v>2350</v>
      </c>
      <c r="O98" s="0" t="s">
        <v>2356</v>
      </c>
      <c r="P98" s="0" t="s">
        <v>2350</v>
      </c>
      <c r="Q98" s="0" t="s">
        <v>2357</v>
      </c>
      <c r="R98" s="0" t="s">
        <v>2350</v>
      </c>
      <c r="S98" s="0" t="s">
        <v>2358</v>
      </c>
      <c r="T98" s="0" t="s">
        <v>2350</v>
      </c>
      <c r="U98" s="0" t="s">
        <v>2350</v>
      </c>
      <c r="V98" s="0" t="s">
        <v>2350</v>
      </c>
      <c r="W98" s="2" t="s">
        <v>2359</v>
      </c>
      <c r="X98" s="0" t="s">
        <v>2360</v>
      </c>
      <c r="Y98" s="0" t="s">
        <v>2361</v>
      </c>
      <c r="Z98" s="0" t="s">
        <v>2362</v>
      </c>
      <c r="AA98" s="0" t="s">
        <v>2355</v>
      </c>
      <c r="AB98" s="1" t="s">
        <v>2363</v>
      </c>
      <c r="AC98" s="0" t="s">
        <v>2350</v>
      </c>
      <c r="AD98" s="0" t="s">
        <v>2350</v>
      </c>
      <c r="AE98" s="0" t="s">
        <v>2364</v>
      </c>
      <c r="AF98" s="0" t="s">
        <v>2350</v>
      </c>
      <c r="AG98" s="0" t="s">
        <v>2365</v>
      </c>
      <c r="AH98" s="0" t="s">
        <v>2355</v>
      </c>
      <c r="AI98" s="0" t="s">
        <v>2350</v>
      </c>
      <c r="AJ98" s="0" t="s">
        <v>2350</v>
      </c>
      <c r="AK98" s="0" t="s">
        <v>2350</v>
      </c>
      <c r="AL98" s="1" t="s">
        <v>2366</v>
      </c>
      <c r="AM98" s="0" t="s">
        <v>2353</v>
      </c>
      <c r="AN98" s="0" t="s">
        <v>2367</v>
      </c>
      <c r="AO98" s="0" t="s">
        <v>2368</v>
      </c>
      <c r="AP98" s="1" t="s">
        <v>2369</v>
      </c>
      <c r="AQ98" s="0" t="s">
        <v>2350</v>
      </c>
    </row>
    <row r="99" customFormat="false" ht="15" hidden="false" customHeight="false" outlineLevel="0" collapsed="false">
      <c r="A99" s="0" t="s">
        <v>2370</v>
      </c>
      <c r="B99" s="0" t="s">
        <v>2371</v>
      </c>
      <c r="C99" s="0" t="s">
        <v>2370</v>
      </c>
      <c r="D99" s="0" t="s">
        <v>2370</v>
      </c>
      <c r="E99" s="0" t="s">
        <v>2372</v>
      </c>
      <c r="F99" s="0" t="s">
        <v>2370</v>
      </c>
      <c r="G99" s="0" t="s">
        <v>2373</v>
      </c>
      <c r="H99" s="0" t="s">
        <v>2374</v>
      </c>
      <c r="I99" s="0" t="s">
        <v>2370</v>
      </c>
      <c r="J99" s="0" t="s">
        <v>2370</v>
      </c>
      <c r="K99" s="0" t="s">
        <v>2375</v>
      </c>
      <c r="L99" s="0" t="s">
        <v>2375</v>
      </c>
      <c r="M99" s="0" t="s">
        <v>2370</v>
      </c>
      <c r="N99" s="0" t="s">
        <v>2370</v>
      </c>
      <c r="O99" s="0" t="s">
        <v>2376</v>
      </c>
      <c r="P99" s="0" t="s">
        <v>2370</v>
      </c>
      <c r="Q99" s="0" t="s">
        <v>2377</v>
      </c>
      <c r="R99" s="0" t="s">
        <v>2370</v>
      </c>
      <c r="S99" s="0" t="s">
        <v>2378</v>
      </c>
      <c r="T99" s="0" t="s">
        <v>2370</v>
      </c>
      <c r="U99" s="0" t="s">
        <v>2370</v>
      </c>
      <c r="V99" s="0" t="s">
        <v>2370</v>
      </c>
      <c r="W99" s="2" t="s">
        <v>2379</v>
      </c>
      <c r="X99" s="0" t="s">
        <v>2380</v>
      </c>
      <c r="Y99" s="0" t="s">
        <v>2381</v>
      </c>
      <c r="Z99" s="0" t="s">
        <v>2382</v>
      </c>
      <c r="AA99" s="0" t="s">
        <v>2375</v>
      </c>
      <c r="AB99" s="1" t="s">
        <v>2383</v>
      </c>
      <c r="AC99" s="0" t="s">
        <v>2370</v>
      </c>
      <c r="AD99" s="0" t="s">
        <v>2370</v>
      </c>
      <c r="AE99" s="0" t="s">
        <v>2384</v>
      </c>
      <c r="AF99" s="0" t="s">
        <v>2370</v>
      </c>
      <c r="AG99" s="0" t="s">
        <v>2385</v>
      </c>
      <c r="AH99" s="0" t="s">
        <v>2375</v>
      </c>
      <c r="AI99" s="0" t="s">
        <v>2370</v>
      </c>
      <c r="AJ99" s="0" t="s">
        <v>2370</v>
      </c>
      <c r="AK99" s="0" t="s">
        <v>2370</v>
      </c>
      <c r="AL99" s="1" t="s">
        <v>2386</v>
      </c>
      <c r="AM99" s="0" t="s">
        <v>2373</v>
      </c>
      <c r="AN99" s="0" t="s">
        <v>2387</v>
      </c>
      <c r="AO99" s="0" t="s">
        <v>2388</v>
      </c>
      <c r="AP99" s="1" t="s">
        <v>2389</v>
      </c>
      <c r="AQ99" s="0" t="s">
        <v>2370</v>
      </c>
    </row>
    <row r="100" customFormat="false" ht="15" hidden="false" customHeight="false" outlineLevel="0" collapsed="false">
      <c r="A100" s="0" t="s">
        <v>2360</v>
      </c>
      <c r="B100" s="0" t="s">
        <v>2390</v>
      </c>
      <c r="C100" s="0" t="s">
        <v>2360</v>
      </c>
      <c r="D100" s="0" t="s">
        <v>2360</v>
      </c>
      <c r="E100" s="0" t="s">
        <v>2391</v>
      </c>
      <c r="F100" s="0" t="s">
        <v>2360</v>
      </c>
      <c r="G100" s="0" t="s">
        <v>2365</v>
      </c>
      <c r="H100" s="0" t="s">
        <v>2392</v>
      </c>
      <c r="I100" s="0" t="s">
        <v>2360</v>
      </c>
      <c r="J100" s="0" t="s">
        <v>2360</v>
      </c>
      <c r="K100" s="0" t="s">
        <v>2365</v>
      </c>
      <c r="L100" s="0" t="s">
        <v>2367</v>
      </c>
      <c r="M100" s="0" t="s">
        <v>2355</v>
      </c>
      <c r="N100" s="0" t="s">
        <v>2360</v>
      </c>
      <c r="O100" s="0" t="s">
        <v>2393</v>
      </c>
      <c r="P100" s="0" t="s">
        <v>2360</v>
      </c>
      <c r="Q100" s="0" t="s">
        <v>2394</v>
      </c>
      <c r="R100" s="0" t="s">
        <v>2360</v>
      </c>
      <c r="S100" s="0" t="s">
        <v>2355</v>
      </c>
      <c r="T100" s="0" t="s">
        <v>2360</v>
      </c>
      <c r="U100" s="0" t="s">
        <v>2360</v>
      </c>
      <c r="V100" s="0" t="s">
        <v>2360</v>
      </c>
      <c r="W100" s="2" t="s">
        <v>2395</v>
      </c>
      <c r="X100" s="0" t="s">
        <v>2365</v>
      </c>
      <c r="Y100" s="0" t="s">
        <v>2396</v>
      </c>
      <c r="Z100" s="0" t="s">
        <v>2367</v>
      </c>
      <c r="AA100" s="0" t="s">
        <v>2367</v>
      </c>
      <c r="AB100" s="1" t="s">
        <v>2397</v>
      </c>
      <c r="AC100" s="0" t="s">
        <v>2360</v>
      </c>
      <c r="AD100" s="0" t="s">
        <v>2360</v>
      </c>
      <c r="AE100" s="0" t="s">
        <v>2365</v>
      </c>
      <c r="AF100" s="0" t="s">
        <v>2360</v>
      </c>
      <c r="AG100" s="0" t="s">
        <v>2398</v>
      </c>
      <c r="AH100" s="0" t="s">
        <v>2365</v>
      </c>
      <c r="AI100" s="0" t="s">
        <v>2360</v>
      </c>
      <c r="AJ100" s="0" t="s">
        <v>2360</v>
      </c>
      <c r="AK100" s="0" t="s">
        <v>2360</v>
      </c>
      <c r="AL100" s="1" t="s">
        <v>2399</v>
      </c>
      <c r="AM100" s="0" t="s">
        <v>2391</v>
      </c>
      <c r="AN100" s="0" t="s">
        <v>2400</v>
      </c>
      <c r="AO100" s="0" t="s">
        <v>2401</v>
      </c>
      <c r="AP100" s="1" t="s">
        <v>2402</v>
      </c>
      <c r="AQ100" s="0" t="s">
        <v>2360</v>
      </c>
    </row>
    <row r="101" customFormat="false" ht="15" hidden="false" customHeight="false" outlineLevel="0" collapsed="false">
      <c r="A101" s="0" t="s">
        <v>2380</v>
      </c>
      <c r="B101" s="0" t="s">
        <v>2403</v>
      </c>
      <c r="C101" s="0" t="s">
        <v>2380</v>
      </c>
      <c r="D101" s="0" t="s">
        <v>2380</v>
      </c>
      <c r="E101" s="0" t="s">
        <v>2404</v>
      </c>
      <c r="F101" s="0" t="s">
        <v>2380</v>
      </c>
      <c r="G101" s="0" t="s">
        <v>2385</v>
      </c>
      <c r="H101" s="0" t="s">
        <v>2405</v>
      </c>
      <c r="I101" s="0" t="s">
        <v>2380</v>
      </c>
      <c r="J101" s="0" t="s">
        <v>2380</v>
      </c>
      <c r="K101" s="0" t="s">
        <v>2385</v>
      </c>
      <c r="L101" s="0" t="s">
        <v>2387</v>
      </c>
      <c r="M101" s="0" t="s">
        <v>2375</v>
      </c>
      <c r="N101" s="0" t="s">
        <v>2380</v>
      </c>
      <c r="O101" s="0" t="s">
        <v>2406</v>
      </c>
      <c r="P101" s="0" t="s">
        <v>2380</v>
      </c>
      <c r="Q101" s="0" t="s">
        <v>2407</v>
      </c>
      <c r="R101" s="0" t="s">
        <v>2380</v>
      </c>
      <c r="S101" s="0" t="s">
        <v>2375</v>
      </c>
      <c r="T101" s="0" t="s">
        <v>2380</v>
      </c>
      <c r="U101" s="0" t="s">
        <v>2380</v>
      </c>
      <c r="V101" s="0" t="s">
        <v>2380</v>
      </c>
      <c r="W101" s="2" t="s">
        <v>2408</v>
      </c>
      <c r="X101" s="0" t="s">
        <v>2385</v>
      </c>
      <c r="Y101" s="0" t="s">
        <v>2409</v>
      </c>
      <c r="Z101" s="0" t="s">
        <v>2387</v>
      </c>
      <c r="AA101" s="0" t="s">
        <v>2387</v>
      </c>
      <c r="AB101" s="1" t="s">
        <v>2410</v>
      </c>
      <c r="AC101" s="0" t="s">
        <v>2380</v>
      </c>
      <c r="AD101" s="0" t="s">
        <v>2380</v>
      </c>
      <c r="AE101" s="0" t="s">
        <v>2385</v>
      </c>
      <c r="AF101" s="0" t="s">
        <v>2380</v>
      </c>
      <c r="AG101" s="0" t="s">
        <v>2411</v>
      </c>
      <c r="AH101" s="0" t="s">
        <v>2385</v>
      </c>
      <c r="AI101" s="0" t="s">
        <v>2380</v>
      </c>
      <c r="AJ101" s="0" t="s">
        <v>2380</v>
      </c>
      <c r="AK101" s="0" t="s">
        <v>2380</v>
      </c>
      <c r="AL101" s="1" t="s">
        <v>2412</v>
      </c>
      <c r="AM101" s="0" t="s">
        <v>2404</v>
      </c>
      <c r="AN101" s="0" t="s">
        <v>2413</v>
      </c>
      <c r="AO101" s="0" t="s">
        <v>2414</v>
      </c>
      <c r="AP101" s="1" t="s">
        <v>2415</v>
      </c>
      <c r="AQ101" s="0" t="s">
        <v>2380</v>
      </c>
    </row>
    <row r="102" customFormat="false" ht="15" hidden="false" customHeight="false" outlineLevel="0" collapsed="false">
      <c r="A102" s="0" t="s">
        <v>2416</v>
      </c>
      <c r="B102" s="0" t="s">
        <v>2417</v>
      </c>
      <c r="C102" s="1" t="s">
        <v>2418</v>
      </c>
      <c r="D102" s="0" t="s">
        <v>2419</v>
      </c>
      <c r="E102" s="0" t="s">
        <v>2420</v>
      </c>
      <c r="F102" s="0" t="s">
        <v>2421</v>
      </c>
      <c r="G102" s="0" t="s">
        <v>2422</v>
      </c>
      <c r="H102" s="0" t="s">
        <v>2423</v>
      </c>
      <c r="I102" s="0" t="s">
        <v>2416</v>
      </c>
      <c r="J102" s="0" t="s">
        <v>2424</v>
      </c>
      <c r="K102" s="0" t="s">
        <v>2425</v>
      </c>
      <c r="L102" s="0" t="s">
        <v>2426</v>
      </c>
      <c r="M102" s="0" t="s">
        <v>2427</v>
      </c>
      <c r="N102" s="0" t="s">
        <v>2428</v>
      </c>
      <c r="O102" s="0" t="s">
        <v>2429</v>
      </c>
      <c r="P102" s="0" t="s">
        <v>2430</v>
      </c>
      <c r="Q102" s="0" t="s">
        <v>2431</v>
      </c>
      <c r="R102" s="1" t="s">
        <v>2432</v>
      </c>
      <c r="S102" s="0" t="s">
        <v>2433</v>
      </c>
      <c r="T102" s="0" t="s">
        <v>2434</v>
      </c>
      <c r="U102" s="0" t="s">
        <v>2435</v>
      </c>
      <c r="V102" s="0" t="s">
        <v>2436</v>
      </c>
      <c r="W102" s="0" t="s">
        <v>2437</v>
      </c>
      <c r="X102" s="0" t="s">
        <v>2438</v>
      </c>
      <c r="Y102" s="0" t="s">
        <v>2439</v>
      </c>
      <c r="Z102" s="0" t="s">
        <v>2440</v>
      </c>
      <c r="AA102" s="0" t="s">
        <v>2441</v>
      </c>
      <c r="AB102" s="1" t="s">
        <v>2442</v>
      </c>
      <c r="AC102" s="0" t="s">
        <v>2443</v>
      </c>
      <c r="AD102" s="0" t="s">
        <v>2444</v>
      </c>
      <c r="AE102" s="0" t="s">
        <v>2445</v>
      </c>
      <c r="AF102" s="0" t="s">
        <v>2446</v>
      </c>
      <c r="AG102" s="0" t="s">
        <v>2447</v>
      </c>
      <c r="AH102" s="0" t="s">
        <v>2448</v>
      </c>
      <c r="AI102" s="0" t="s">
        <v>2449</v>
      </c>
      <c r="AJ102" s="0" t="s">
        <v>2450</v>
      </c>
      <c r="AK102" s="0" t="s">
        <v>2451</v>
      </c>
      <c r="AL102" s="1" t="s">
        <v>2452</v>
      </c>
      <c r="AM102" s="0" t="s">
        <v>2453</v>
      </c>
      <c r="AN102" s="0" t="s">
        <v>2454</v>
      </c>
      <c r="AO102" s="0" t="s">
        <v>2455</v>
      </c>
      <c r="AP102" s="1" t="s">
        <v>2456</v>
      </c>
      <c r="AQ102" s="0" t="s">
        <v>2457</v>
      </c>
    </row>
    <row r="103" customFormat="false" ht="15" hidden="false" customHeight="false" outlineLevel="0" collapsed="false">
      <c r="A103" s="3"/>
    </row>
    <row r="104" customFormat="false" ht="15" hidden="false" customHeight="false" outlineLevel="0" collapsed="false">
      <c r="A104" s="3"/>
    </row>
    <row r="105" customFormat="false" ht="15" hidden="false" customHeight="false" outlineLevel="0" collapsed="false">
      <c r="A105" s="3"/>
    </row>
    <row r="106" customFormat="false" ht="15" hidden="false" customHeight="false" outlineLevel="0" collapsed="false">
      <c r="A106" s="3"/>
    </row>
    <row r="107" customFormat="false" ht="15" hidden="false" customHeight="false" outlineLevel="0" collapsed="false">
      <c r="A107" s="3"/>
    </row>
    <row r="108" customFormat="false" ht="15" hidden="false" customHeight="false" outlineLevel="0" collapsed="false">
      <c r="A108" s="3"/>
    </row>
    <row r="109" customFormat="false" ht="15" hidden="false" customHeight="false" outlineLevel="0" collapsed="false">
      <c r="A109" s="3"/>
    </row>
    <row r="110" customFormat="false" ht="15" hidden="false" customHeight="false" outlineLevel="0" collapsed="false">
      <c r="A110" s="3"/>
    </row>
    <row r="111" customFormat="false" ht="15" hidden="false" customHeight="false" outlineLevel="0" collapsed="false">
      <c r="A111" s="3"/>
    </row>
    <row r="112" customFormat="false" ht="15" hidden="false" customHeight="false" outlineLevel="0" collapsed="false">
      <c r="A112" s="3"/>
    </row>
    <row r="113" customFormat="false" ht="15" hidden="false" customHeight="false" outlineLevel="0" collapsed="false">
      <c r="A113" s="3"/>
    </row>
    <row r="114" customFormat="false" ht="15" hidden="false" customHeight="false" outlineLevel="0" collapsed="false">
      <c r="A114" s="3"/>
    </row>
    <row r="115" customFormat="false" ht="15" hidden="false" customHeight="false" outlineLevel="0" collapsed="false">
      <c r="A115" s="0" t="s">
        <v>2458</v>
      </c>
      <c r="B115" s="0" t="s">
        <v>2459</v>
      </c>
      <c r="C115" s="0" t="s">
        <v>2460</v>
      </c>
      <c r="D115" s="0" t="s">
        <v>2461</v>
      </c>
      <c r="E115" s="0" t="s">
        <v>2462</v>
      </c>
      <c r="F115" s="0" t="s">
        <v>2463</v>
      </c>
      <c r="G115" s="0" t="s">
        <v>2464</v>
      </c>
      <c r="H115" s="0" t="s">
        <v>2465</v>
      </c>
      <c r="I115" s="0" t="s">
        <v>2466</v>
      </c>
      <c r="J115" s="0" t="s">
        <v>2467</v>
      </c>
      <c r="K115" s="0" t="s">
        <v>2468</v>
      </c>
      <c r="L115" s="0" t="s">
        <v>2469</v>
      </c>
      <c r="M115" s="0" t="s">
        <v>2470</v>
      </c>
      <c r="N115" s="0" t="s">
        <v>2471</v>
      </c>
      <c r="O115" s="0" t="s">
        <v>2472</v>
      </c>
      <c r="P115" s="0" t="s">
        <v>2473</v>
      </c>
      <c r="Q115" s="0" t="s">
        <v>2474</v>
      </c>
      <c r="R115" s="0" t="s">
        <v>2475</v>
      </c>
      <c r="S115" s="0" t="s">
        <v>2476</v>
      </c>
      <c r="T115" s="0" t="s">
        <v>2477</v>
      </c>
      <c r="U115" s="0" t="s">
        <v>2478</v>
      </c>
      <c r="V115" s="0" t="s">
        <v>2479</v>
      </c>
      <c r="W115" s="0" t="s">
        <v>2480</v>
      </c>
      <c r="X115" s="0" t="s">
        <v>2481</v>
      </c>
      <c r="Y115" s="0" t="s">
        <v>2482</v>
      </c>
      <c r="Z115" s="0" t="s">
        <v>2483</v>
      </c>
      <c r="AA115" s="0" t="s">
        <v>2484</v>
      </c>
      <c r="AB115" s="0" t="s">
        <v>2485</v>
      </c>
      <c r="AC115" s="0" t="s">
        <v>2486</v>
      </c>
      <c r="AD115" s="0" t="s">
        <v>2487</v>
      </c>
      <c r="AE115" s="0" t="s">
        <v>2488</v>
      </c>
      <c r="AF115" s="0" t="s">
        <v>2489</v>
      </c>
      <c r="AG115" s="0" t="s">
        <v>2490</v>
      </c>
      <c r="AH115" s="0" t="s">
        <v>2491</v>
      </c>
      <c r="AI115" s="0" t="s">
        <v>2492</v>
      </c>
      <c r="AJ115" s="0" t="s">
        <v>2493</v>
      </c>
      <c r="AK115" s="0" t="s">
        <v>2494</v>
      </c>
      <c r="AL115" s="0" t="s">
        <v>2495</v>
      </c>
      <c r="AM115" s="0" t="s">
        <v>2496</v>
      </c>
      <c r="AN115" s="0" t="s">
        <v>2497</v>
      </c>
      <c r="AO115" s="0" t="s">
        <v>2498</v>
      </c>
      <c r="AP115" s="0" t="s">
        <v>2499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4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4" width="1.14"/>
    <col collapsed="false" customWidth="true" hidden="false" outlineLevel="0" max="2" min="2" style="4" width="18.85"/>
    <col collapsed="false" customWidth="true" hidden="false" outlineLevel="0" max="3" min="3" style="4" width="20.28"/>
    <col collapsed="false" customWidth="true" hidden="false" outlineLevel="0" max="4" min="4" style="4" width="9.14"/>
    <col collapsed="false" customWidth="true" hidden="false" outlineLevel="0" max="5" min="5" style="4" width="1.14"/>
    <col collapsed="false" customWidth="true" hidden="false" outlineLevel="0" max="6" min="6" style="4" width="9.14"/>
    <col collapsed="false" customWidth="true" hidden="false" outlineLevel="0" max="7" min="7" style="4" width="27.57"/>
    <col collapsed="false" customWidth="true" hidden="false" outlineLevel="0" max="8" min="8" style="4" width="2.71"/>
    <col collapsed="false" customWidth="true" hidden="false" outlineLevel="0" max="9" min="9" style="4" width="1.14"/>
    <col collapsed="false" customWidth="true" hidden="false" outlineLevel="0" max="1025" min="10" style="4" width="9.14"/>
  </cols>
  <sheetData>
    <row r="1" customFormat="false" ht="7.5" hidden="false" customHeight="true" outlineLevel="0" collapsed="false"/>
    <row r="2" customFormat="false" ht="16.5" hidden="false" customHeight="false" outlineLevel="0" collapsed="false">
      <c r="B2" s="5" t="s">
        <v>2500</v>
      </c>
      <c r="C2" s="6"/>
      <c r="D2" s="7"/>
      <c r="F2" s="5" t="s">
        <v>2501</v>
      </c>
      <c r="G2" s="6"/>
      <c r="H2" s="7"/>
    </row>
    <row r="3" customFormat="false" ht="9" hidden="false" customHeight="true" outlineLevel="0" collapsed="false">
      <c r="B3" s="8"/>
      <c r="C3" s="9"/>
      <c r="D3" s="10"/>
      <c r="F3" s="8"/>
      <c r="G3" s="9"/>
      <c r="H3" s="10"/>
    </row>
    <row r="4" customFormat="false" ht="15" hidden="false" customHeight="false" outlineLevel="0" collapsed="false">
      <c r="B4" s="11" t="s">
        <v>2502</v>
      </c>
      <c r="C4" s="12" t="s">
        <v>35</v>
      </c>
      <c r="D4" s="10"/>
      <c r="F4" s="8"/>
      <c r="G4" s="13"/>
      <c r="H4" s="10"/>
    </row>
    <row r="5" customFormat="false" ht="15" hidden="false" customHeight="false" outlineLevel="0" collapsed="false">
      <c r="B5" s="8"/>
      <c r="C5" s="9"/>
      <c r="D5" s="10"/>
      <c r="F5" s="14" t="s">
        <v>2503</v>
      </c>
      <c r="G5" s="15" t="s">
        <v>2504</v>
      </c>
      <c r="H5" s="10"/>
    </row>
    <row r="6" customFormat="false" ht="15" hidden="false" customHeight="false" outlineLevel="0" collapsed="false">
      <c r="B6" s="11" t="s">
        <v>2505</v>
      </c>
      <c r="C6" s="12" t="s">
        <v>2506</v>
      </c>
      <c r="D6" s="10"/>
      <c r="F6" s="14" t="s">
        <v>2507</v>
      </c>
      <c r="G6" s="16" t="s">
        <v>2508</v>
      </c>
      <c r="H6" s="10"/>
    </row>
    <row r="7" customFormat="false" ht="15" hidden="false" customHeight="false" outlineLevel="0" collapsed="false">
      <c r="B7" s="8"/>
      <c r="C7" s="9"/>
      <c r="D7" s="10"/>
      <c r="F7" s="14" t="s">
        <v>2509</v>
      </c>
      <c r="G7" s="16" t="s">
        <v>2510</v>
      </c>
      <c r="H7" s="10"/>
    </row>
    <row r="8" customFormat="false" ht="15" hidden="false" customHeight="false" outlineLevel="0" collapsed="false">
      <c r="B8" s="11" t="s">
        <v>2511</v>
      </c>
      <c r="C8" s="12" t="s">
        <v>2512</v>
      </c>
      <c r="D8" s="10"/>
      <c r="F8" s="14" t="s">
        <v>2513</v>
      </c>
      <c r="G8" s="16" t="s">
        <v>2514</v>
      </c>
      <c r="H8" s="10"/>
    </row>
    <row r="9" customFormat="false" ht="15" hidden="false" customHeight="false" outlineLevel="0" collapsed="false">
      <c r="B9" s="8"/>
      <c r="C9" s="9"/>
      <c r="D9" s="10"/>
      <c r="F9" s="14" t="s">
        <v>2515</v>
      </c>
      <c r="G9" s="17" t="s">
        <v>2516</v>
      </c>
      <c r="H9" s="10"/>
    </row>
    <row r="10" customFormat="false" ht="15" hidden="false" customHeight="false" outlineLevel="0" collapsed="false">
      <c r="B10" s="11" t="s">
        <v>2517</v>
      </c>
      <c r="C10" s="12" t="s">
        <v>2518</v>
      </c>
      <c r="D10" s="10"/>
      <c r="F10" s="8"/>
      <c r="G10" s="18"/>
      <c r="H10" s="10"/>
    </row>
    <row r="11" customFormat="false" ht="15" hidden="false" customHeight="false" outlineLevel="0" collapsed="false">
      <c r="B11" s="8"/>
      <c r="C11" s="9"/>
      <c r="D11" s="10"/>
      <c r="F11" s="19"/>
      <c r="G11" s="20"/>
      <c r="H11" s="21"/>
    </row>
    <row r="12" customFormat="false" ht="15" hidden="false" customHeight="false" outlineLevel="0" collapsed="false">
      <c r="B12" s="11" t="s">
        <v>2519</v>
      </c>
      <c r="C12" s="12" t="s">
        <v>1427</v>
      </c>
      <c r="D12" s="10"/>
    </row>
    <row r="13" customFormat="false" ht="9" hidden="false" customHeight="true" outlineLevel="0" collapsed="false">
      <c r="B13" s="19"/>
      <c r="C13" s="20"/>
      <c r="D13" s="21"/>
    </row>
    <row r="14" customFormat="false" ht="9" hidden="false" customHeight="true" outlineLevel="0" collapsed="false"/>
    <row r="15" customFormat="false" ht="9" hidden="false" customHeight="true" outlineLevel="0" collapsed="false">
      <c r="B15" s="22"/>
      <c r="C15" s="23"/>
      <c r="D15" s="24"/>
      <c r="F15" s="25" t="s">
        <v>2520</v>
      </c>
      <c r="G15" s="25" t="n">
        <f aca="false">IF(ISERROR(MATCH(C4,lang_list,0)),1,MATCH(C4,lang_list,0))</f>
        <v>36</v>
      </c>
      <c r="H15" s="25"/>
      <c r="I15" s="25" t="str">
        <f aca="false">IFERROR(VLOOKUP(C12,T,lang,0),"")</f>
        <v>Alemania</v>
      </c>
    </row>
    <row r="16" customFormat="false" ht="16.5" hidden="false" customHeight="false" outlineLevel="0" collapsed="false">
      <c r="B16" s="8"/>
      <c r="C16" s="26" t="s">
        <v>2516</v>
      </c>
      <c r="D16" s="10"/>
      <c r="F16" s="25" t="s">
        <v>2521</v>
      </c>
      <c r="G16" s="25" t="n">
        <f aca="false">TIME(VLOOKUP(C8,F18:G41,2,0),VLOOKUP(C10,F43:G46,2,0),0)+IF(C6="Yes",TIME(1,0,0),0)</f>
        <v>0.291666666666667</v>
      </c>
      <c r="H16" s="25"/>
      <c r="I16" s="25"/>
    </row>
    <row r="17" customFormat="false" ht="15" hidden="false" customHeight="false" outlineLevel="0" collapsed="false">
      <c r="B17" s="27" t="str">
        <f aca="false">VLOOKUP("Germany",T,lang,0)</f>
        <v>Alemania</v>
      </c>
      <c r="C17" s="28" t="n">
        <v>1602</v>
      </c>
      <c r="D17" s="10"/>
      <c r="F17" s="25"/>
      <c r="G17" s="25"/>
      <c r="H17" s="25"/>
      <c r="I17" s="25" t="s">
        <v>1200</v>
      </c>
    </row>
    <row r="18" customFormat="false" ht="15" hidden="false" customHeight="false" outlineLevel="0" collapsed="false">
      <c r="B18" s="27" t="str">
        <f aca="false">VLOOKUP("Brazil",T,lang,0)</f>
        <v>Brasil</v>
      </c>
      <c r="C18" s="29" t="n">
        <v>1483</v>
      </c>
      <c r="D18" s="10"/>
      <c r="F18" s="25" t="s">
        <v>2522</v>
      </c>
      <c r="G18" s="25" t="n">
        <v>0</v>
      </c>
      <c r="H18" s="25"/>
      <c r="I18" s="25" t="s">
        <v>1465</v>
      </c>
    </row>
    <row r="19" customFormat="false" ht="15" hidden="false" customHeight="false" outlineLevel="0" collapsed="false">
      <c r="B19" s="27" t="str">
        <f aca="false">VLOOKUP("Portugal",T,lang,0)</f>
        <v>Portugal</v>
      </c>
      <c r="C19" s="29" t="n">
        <v>1358</v>
      </c>
      <c r="D19" s="10"/>
      <c r="F19" s="25" t="s">
        <v>2523</v>
      </c>
      <c r="G19" s="25" t="n">
        <v>1</v>
      </c>
      <c r="H19" s="25"/>
      <c r="I19" s="25" t="s">
        <v>1791</v>
      </c>
    </row>
    <row r="20" customFormat="false" ht="15" hidden="false" customHeight="false" outlineLevel="0" collapsed="false">
      <c r="B20" s="27" t="str">
        <f aca="false">VLOOKUP("Argentina",T,lang,0)</f>
        <v>Argentina</v>
      </c>
      <c r="C20" s="29" t="n">
        <v>1348</v>
      </c>
      <c r="D20" s="10"/>
      <c r="F20" s="25" t="s">
        <v>2524</v>
      </c>
      <c r="G20" s="25" t="n">
        <v>2</v>
      </c>
      <c r="H20" s="25"/>
      <c r="I20" s="25" t="s">
        <v>1761</v>
      </c>
    </row>
    <row r="21" customFormat="false" ht="15" hidden="false" customHeight="false" outlineLevel="0" collapsed="false">
      <c r="B21" s="27" t="str">
        <f aca="false">VLOOKUP("Belgium",T,lang,0)</f>
        <v>Bélgica</v>
      </c>
      <c r="C21" s="29" t="n">
        <v>1325</v>
      </c>
      <c r="D21" s="10"/>
      <c r="F21" s="25" t="s">
        <v>2525</v>
      </c>
      <c r="G21" s="25" t="n">
        <v>3</v>
      </c>
      <c r="H21" s="25"/>
      <c r="I21" s="25" t="s">
        <v>1495</v>
      </c>
    </row>
    <row r="22" customFormat="false" ht="15" hidden="false" customHeight="false" outlineLevel="0" collapsed="false">
      <c r="B22" s="27" t="str">
        <f aca="false">VLOOKUP("Spain",T,lang,0)</f>
        <v>España</v>
      </c>
      <c r="C22" s="29" t="n">
        <v>1231</v>
      </c>
      <c r="D22" s="10"/>
      <c r="F22" s="25" t="s">
        <v>2526</v>
      </c>
      <c r="G22" s="25" t="n">
        <v>4</v>
      </c>
      <c r="H22" s="25"/>
      <c r="I22" s="25" t="s">
        <v>1586</v>
      </c>
    </row>
    <row r="23" customFormat="false" ht="15" hidden="false" customHeight="false" outlineLevel="0" collapsed="false">
      <c r="B23" s="27" t="str">
        <f aca="false">VLOOKUP("Poland",T,lang,0)</f>
        <v>Polonia</v>
      </c>
      <c r="C23" s="29" t="n">
        <v>1209</v>
      </c>
      <c r="D23" s="10"/>
      <c r="F23" s="25" t="s">
        <v>2527</v>
      </c>
      <c r="G23" s="25" t="n">
        <v>5</v>
      </c>
      <c r="H23" s="25"/>
      <c r="I23" s="25" t="s">
        <v>1081</v>
      </c>
    </row>
    <row r="24" customFormat="false" ht="15" hidden="false" customHeight="false" outlineLevel="0" collapsed="false">
      <c r="B24" s="27" t="str">
        <f aca="false">VLOOKUP("Switzerland",T,lang,0)</f>
        <v>Suiza</v>
      </c>
      <c r="C24" s="29" t="n">
        <v>1190</v>
      </c>
      <c r="D24" s="10"/>
      <c r="F24" s="25" t="s">
        <v>2528</v>
      </c>
      <c r="G24" s="25" t="n">
        <v>6</v>
      </c>
      <c r="H24" s="25"/>
      <c r="I24" s="25" t="s">
        <v>1522</v>
      </c>
    </row>
    <row r="25" customFormat="false" ht="15" hidden="false" customHeight="false" outlineLevel="0" collapsed="false">
      <c r="B25" s="27" t="str">
        <f aca="false">VLOOKUP("France",T,lang,0)</f>
        <v>Francia</v>
      </c>
      <c r="C25" s="29" t="n">
        <v>1183</v>
      </c>
      <c r="D25" s="10"/>
      <c r="F25" s="25" t="s">
        <v>2512</v>
      </c>
      <c r="G25" s="25" t="n">
        <v>7</v>
      </c>
      <c r="H25" s="25"/>
      <c r="I25" s="25" t="s">
        <v>1712</v>
      </c>
    </row>
    <row r="26" customFormat="false" ht="15" hidden="false" customHeight="false" outlineLevel="0" collapsed="false">
      <c r="B26" s="27" t="str">
        <f aca="false">VLOOKUP("Peru",T,lang,0)</f>
        <v>Perú</v>
      </c>
      <c r="C26" s="29" t="n">
        <v>1128</v>
      </c>
      <c r="D26" s="10"/>
      <c r="F26" s="25" t="s">
        <v>2529</v>
      </c>
      <c r="G26" s="25" t="n">
        <v>8</v>
      </c>
      <c r="H26" s="25"/>
      <c r="I26" s="25" t="s">
        <v>1318</v>
      </c>
    </row>
    <row r="27" customFormat="false" ht="15" hidden="false" customHeight="false" outlineLevel="0" collapsed="false">
      <c r="B27" s="27" t="str">
        <f aca="false">VLOOKUP("Denmark",T,lang,0)</f>
        <v>Dinamarca</v>
      </c>
      <c r="C27" s="29" t="n">
        <v>1099</v>
      </c>
      <c r="D27" s="10"/>
      <c r="F27" s="25" t="s">
        <v>2530</v>
      </c>
      <c r="G27" s="25" t="n">
        <v>9</v>
      </c>
      <c r="H27" s="25"/>
      <c r="I27" s="25" t="s">
        <v>1166</v>
      </c>
    </row>
    <row r="28" customFormat="false" ht="15" hidden="false" customHeight="false" outlineLevel="0" collapsed="false">
      <c r="B28" s="27" t="str">
        <f aca="false">VLOOKUP("Colombia",T,lang,0)</f>
        <v>Colombia</v>
      </c>
      <c r="C28" s="29" t="n">
        <v>1078</v>
      </c>
      <c r="D28" s="10"/>
      <c r="F28" s="25" t="s">
        <v>2531</v>
      </c>
      <c r="G28" s="25" t="n">
        <v>10</v>
      </c>
      <c r="H28" s="25"/>
      <c r="I28" s="25" t="s">
        <v>1427</v>
      </c>
    </row>
    <row r="29" customFormat="false" ht="15" hidden="false" customHeight="false" outlineLevel="0" collapsed="false">
      <c r="B29" s="27" t="str">
        <f aca="false">VLOOKUP("England",T,lang,0)</f>
        <v>Inglaterra</v>
      </c>
      <c r="C29" s="29" t="n">
        <v>1047</v>
      </c>
      <c r="D29" s="10"/>
      <c r="F29" s="25" t="s">
        <v>2532</v>
      </c>
      <c r="G29" s="25" t="n">
        <v>11</v>
      </c>
      <c r="H29" s="25"/>
      <c r="I29" s="25" t="s">
        <v>1637</v>
      </c>
    </row>
    <row r="30" customFormat="false" ht="15" hidden="false" customHeight="false" outlineLevel="0" collapsed="false">
      <c r="B30" s="27" t="str">
        <f aca="false">VLOOKUP("Mexico",T,lang,0)</f>
        <v>México</v>
      </c>
      <c r="C30" s="29" t="n">
        <v>1032</v>
      </c>
      <c r="D30" s="10"/>
      <c r="F30" s="25" t="s">
        <v>2533</v>
      </c>
      <c r="G30" s="25" t="n">
        <v>12</v>
      </c>
      <c r="H30" s="25"/>
      <c r="I30" s="25" t="s">
        <v>1742</v>
      </c>
    </row>
    <row r="31" customFormat="false" ht="15" hidden="false" customHeight="false" outlineLevel="0" collapsed="false">
      <c r="B31" s="27" t="str">
        <f aca="false">VLOOKUP("Croatia",T,lang,0)</f>
        <v>Croacia</v>
      </c>
      <c r="C31" s="29" t="n">
        <v>1018</v>
      </c>
      <c r="D31" s="10"/>
      <c r="F31" s="25" t="s">
        <v>2534</v>
      </c>
      <c r="G31" s="25" t="n">
        <v>13</v>
      </c>
      <c r="H31" s="25"/>
      <c r="I31" s="25" t="s">
        <v>1608</v>
      </c>
    </row>
    <row r="32" customFormat="false" ht="15" hidden="false" customHeight="false" outlineLevel="0" collapsed="false">
      <c r="B32" s="27" t="str">
        <f aca="false">VLOOKUP("Sweden",T,lang,0)</f>
        <v>Suecia</v>
      </c>
      <c r="C32" s="29" t="n">
        <v>998</v>
      </c>
      <c r="D32" s="10"/>
      <c r="F32" s="25" t="s">
        <v>2535</v>
      </c>
      <c r="G32" s="25" t="n">
        <v>14</v>
      </c>
      <c r="H32" s="25"/>
      <c r="I32" s="25" t="s">
        <v>1244</v>
      </c>
    </row>
    <row r="33" customFormat="false" ht="15" hidden="false" customHeight="false" outlineLevel="0" collapsed="false">
      <c r="B33" s="27" t="str">
        <f aca="false">VLOOKUP("Uruguay",T,lang,0)</f>
        <v>Uruguay</v>
      </c>
      <c r="C33" s="29" t="n">
        <v>924</v>
      </c>
      <c r="D33" s="10"/>
      <c r="F33" s="25" t="s">
        <v>2536</v>
      </c>
      <c r="G33" s="25" t="n">
        <v>15</v>
      </c>
      <c r="H33" s="25"/>
      <c r="I33" s="25" t="s">
        <v>1119</v>
      </c>
    </row>
    <row r="34" customFormat="false" ht="15" hidden="false" customHeight="false" outlineLevel="0" collapsed="false">
      <c r="B34" s="27" t="str">
        <f aca="false">VLOOKUP("Iceland",T,lang,0)</f>
        <v>Islandia</v>
      </c>
      <c r="C34" s="29" t="n">
        <v>910</v>
      </c>
      <c r="D34" s="10"/>
      <c r="F34" s="25" t="s">
        <v>2537</v>
      </c>
      <c r="G34" s="25" t="n">
        <v>16</v>
      </c>
      <c r="H34" s="25"/>
      <c r="I34" s="25" t="s">
        <v>1822</v>
      </c>
    </row>
    <row r="35" customFormat="false" ht="15" hidden="false" customHeight="false" outlineLevel="0" collapsed="false">
      <c r="B35" s="27" t="str">
        <f aca="false">VLOOKUP("Senegal",T,lang,0)</f>
        <v>Senegal</v>
      </c>
      <c r="C35" s="29" t="n">
        <v>884</v>
      </c>
      <c r="D35" s="10"/>
      <c r="F35" s="25" t="s">
        <v>2538</v>
      </c>
      <c r="G35" s="25" t="n">
        <v>17</v>
      </c>
      <c r="H35" s="25"/>
      <c r="I35" s="25" t="s">
        <v>1221</v>
      </c>
    </row>
    <row r="36" customFormat="false" ht="15" hidden="false" customHeight="false" outlineLevel="0" collapsed="false">
      <c r="B36" s="27" t="str">
        <f aca="false">VLOOKUP("Costa Rica",T,lang,0)</f>
        <v>Costa Rica</v>
      </c>
      <c r="C36" s="29" t="n">
        <v>850</v>
      </c>
      <c r="D36" s="10"/>
      <c r="F36" s="25" t="s">
        <v>2539</v>
      </c>
      <c r="G36" s="25" t="n">
        <v>18</v>
      </c>
      <c r="H36" s="25"/>
      <c r="I36" s="25" t="s">
        <v>1946</v>
      </c>
    </row>
    <row r="37" customFormat="false" ht="15" hidden="false" customHeight="false" outlineLevel="0" collapsed="false">
      <c r="B37" s="27" t="str">
        <f aca="false">VLOOKUP("Tunisia",T,lang,0)</f>
        <v>Túnez</v>
      </c>
      <c r="C37" s="29" t="n">
        <v>838</v>
      </c>
      <c r="D37" s="10"/>
      <c r="F37" s="25" t="s">
        <v>2540</v>
      </c>
      <c r="G37" s="25" t="n">
        <v>19</v>
      </c>
      <c r="H37" s="25"/>
      <c r="I37" s="25" t="s">
        <v>1379</v>
      </c>
    </row>
    <row r="38" customFormat="false" ht="15" hidden="false" customHeight="false" outlineLevel="0" collapsed="false">
      <c r="B38" s="27" t="str">
        <f aca="false">VLOOKUP("Egypt",T,lang,0)</f>
        <v>Egipto</v>
      </c>
      <c r="C38" s="29" t="n">
        <v>805</v>
      </c>
      <c r="D38" s="10"/>
      <c r="F38" s="25" t="s">
        <v>2541</v>
      </c>
      <c r="G38" s="25" t="n">
        <v>20</v>
      </c>
      <c r="H38" s="25"/>
      <c r="I38" s="25" t="s">
        <v>1283</v>
      </c>
    </row>
    <row r="39" customFormat="false" ht="15" hidden="false" customHeight="false" outlineLevel="0" collapsed="false">
      <c r="B39" s="27" t="str">
        <f aca="false">VLOOKUP("Iran",T,lang,0)</f>
        <v>Irán</v>
      </c>
      <c r="C39" s="29" t="n">
        <v>798</v>
      </c>
      <c r="D39" s="10"/>
      <c r="F39" s="25" t="s">
        <v>2542</v>
      </c>
      <c r="G39" s="25" t="n">
        <v>21</v>
      </c>
      <c r="H39" s="25"/>
      <c r="I39" s="25" t="s">
        <v>1848</v>
      </c>
    </row>
    <row r="40" customFormat="false" ht="15" hidden="false" customHeight="false" outlineLevel="0" collapsed="false">
      <c r="B40" s="27" t="str">
        <f aca="false">VLOOKUP("Serbia",T,lang,0)</f>
        <v>Serbia</v>
      </c>
      <c r="C40" s="29" t="n">
        <v>756</v>
      </c>
      <c r="D40" s="10"/>
      <c r="F40" s="25" t="s">
        <v>2543</v>
      </c>
      <c r="G40" s="25" t="n">
        <v>22</v>
      </c>
      <c r="H40" s="25"/>
      <c r="I40" s="25" t="s">
        <v>1396</v>
      </c>
    </row>
    <row r="41" customFormat="false" ht="15" hidden="false" customHeight="false" outlineLevel="0" collapsed="false">
      <c r="B41" s="27" t="str">
        <f aca="false">VLOOKUP("Australia",T,lang,0)</f>
        <v>Australia</v>
      </c>
      <c r="C41" s="29" t="n">
        <v>747</v>
      </c>
      <c r="D41" s="10"/>
      <c r="F41" s="25" t="s">
        <v>2544</v>
      </c>
      <c r="G41" s="25" t="n">
        <v>23</v>
      </c>
      <c r="H41" s="25"/>
      <c r="I41" s="25" t="s">
        <v>1960</v>
      </c>
    </row>
    <row r="42" customFormat="false" ht="15" hidden="false" customHeight="false" outlineLevel="0" collapsed="false">
      <c r="B42" s="27" t="str">
        <f aca="false">VLOOKUP("Morocco",T,lang,0)</f>
        <v>Marruecos</v>
      </c>
      <c r="C42" s="29" t="n">
        <v>738</v>
      </c>
      <c r="D42" s="10"/>
      <c r="F42" s="25"/>
      <c r="G42" s="25"/>
      <c r="H42" s="25"/>
      <c r="I42" s="25" t="s">
        <v>1665</v>
      </c>
    </row>
    <row r="43" customFormat="false" ht="15" hidden="false" customHeight="false" outlineLevel="0" collapsed="false">
      <c r="B43" s="27" t="str">
        <f aca="false">VLOOKUP("Nigeria",T,lang,0)</f>
        <v>Nigeria</v>
      </c>
      <c r="C43" s="29" t="n">
        <v>640</v>
      </c>
      <c r="D43" s="10"/>
      <c r="F43" s="25" t="s">
        <v>2518</v>
      </c>
      <c r="G43" s="25" t="n">
        <v>0</v>
      </c>
      <c r="H43" s="25"/>
      <c r="I43" s="25" t="s">
        <v>1350</v>
      </c>
    </row>
    <row r="44" customFormat="false" ht="15" hidden="false" customHeight="false" outlineLevel="0" collapsed="false">
      <c r="B44" s="27" t="str">
        <f aca="false">VLOOKUP("Panama",T,lang,0)</f>
        <v>Panamá</v>
      </c>
      <c r="C44" s="29" t="n">
        <v>621</v>
      </c>
      <c r="D44" s="10"/>
      <c r="F44" s="25" t="s">
        <v>2545</v>
      </c>
      <c r="G44" s="25" t="n">
        <v>15</v>
      </c>
      <c r="H44" s="25"/>
      <c r="I44" s="25" t="s">
        <v>1873</v>
      </c>
    </row>
    <row r="45" customFormat="false" ht="15" hidden="false" customHeight="false" outlineLevel="0" collapsed="false">
      <c r="B45" s="27" t="str">
        <f aca="false">VLOOKUP("Japan",T,lang,0)</f>
        <v>Japón</v>
      </c>
      <c r="C45" s="29" t="n">
        <v>600</v>
      </c>
      <c r="D45" s="10"/>
      <c r="F45" s="25" t="s">
        <v>2546</v>
      </c>
      <c r="G45" s="25" t="n">
        <v>30</v>
      </c>
      <c r="H45" s="25"/>
      <c r="I45" s="25" t="s">
        <v>1552</v>
      </c>
    </row>
    <row r="46" customFormat="false" ht="15" hidden="false" customHeight="false" outlineLevel="0" collapsed="false">
      <c r="B46" s="27" t="str">
        <f aca="false">VLOOKUP("Korea Republic",T,lang,0)</f>
        <v>República de Corea</v>
      </c>
      <c r="C46" s="29" t="n">
        <v>570</v>
      </c>
      <c r="D46" s="10"/>
      <c r="F46" s="25" t="s">
        <v>2547</v>
      </c>
      <c r="G46" s="25" t="n">
        <v>45</v>
      </c>
      <c r="H46" s="25"/>
      <c r="I46" s="25" t="s">
        <v>1909</v>
      </c>
    </row>
    <row r="47" customFormat="false" ht="15" hidden="false" customHeight="false" outlineLevel="0" collapsed="false">
      <c r="B47" s="27" t="str">
        <f aca="false">VLOOKUP("Saudi Arabia",T,lang,0)</f>
        <v>Arabia Saudita</v>
      </c>
      <c r="C47" s="29" t="n">
        <v>543</v>
      </c>
      <c r="D47" s="10"/>
      <c r="F47" s="25"/>
      <c r="G47" s="25"/>
      <c r="H47" s="25"/>
      <c r="I47" s="25" t="s">
        <v>1684</v>
      </c>
    </row>
    <row r="48" customFormat="false" ht="15" hidden="false" customHeight="false" outlineLevel="0" collapsed="false">
      <c r="B48" s="27" t="str">
        <f aca="false">VLOOKUP("Russia",T,lang,0)</f>
        <v>Rusia</v>
      </c>
      <c r="C48" s="30" t="n">
        <v>534</v>
      </c>
      <c r="D48" s="10"/>
      <c r="F48" s="25" t="s">
        <v>2548</v>
      </c>
      <c r="G48" s="25" t="n">
        <f aca="false">IF(G4="Type 2",0,1)</f>
        <v>1</v>
      </c>
      <c r="H48" s="25"/>
      <c r="I48" s="25" t="s">
        <v>1145</v>
      </c>
    </row>
    <row r="49" customFormat="false" ht="15" hidden="false" customHeight="false" outlineLevel="0" collapsed="false">
      <c r="B49" s="19"/>
      <c r="C49" s="20"/>
      <c r="D49" s="21"/>
    </row>
  </sheetData>
  <sheetProtection sheet="true" objects="true" scenarios="true"/>
  <dataValidations count="5">
    <dataValidation allowBlank="true" operator="equal" prompt="Use drop-down List" promptTitle="Select Language" showDropDown="false" showErrorMessage="true" showInputMessage="true" sqref="C4" type="list">
      <formula1>lang_list</formula1>
      <formula2>0</formula2>
    </dataValidation>
    <dataValidation allowBlank="true" operator="equal" prompt="Use drop-down List" promptTitle="Select Summer Time" showDropDown="false" showErrorMessage="true" showInputMessage="true" sqref="C6" type="list">
      <formula1>"Yes,No"</formula1>
      <formula2>0</formula2>
    </dataValidation>
    <dataValidation allowBlank="true" operator="equal" prompt="Use drop-down List" promptTitle="Select GTM-time" showDropDown="false" showErrorMessage="true" showInputMessage="true" sqref="C8" type="list">
      <formula1>$F$18:$F$41</formula1>
      <formula2>0</formula2>
    </dataValidation>
    <dataValidation allowBlank="true" operator="equal" prompt="Use drop-down List" promptTitle="Select Minutes" showDropDown="false" showErrorMessage="true" showInputMessage="true" sqref="C10" type="list">
      <formula1>$F$43:$F$46</formula1>
      <formula2>0</formula2>
    </dataValidation>
    <dataValidation allowBlank="true" operator="equal" prompt="Use drop-down List" promptTitle="Select Your Favorite Team" showDropDown="false" showErrorMessage="true" showInputMessage="true" sqref="C12" type="list">
      <formula1>teams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T96"/>
  <sheetViews>
    <sheetView showFormulas="false" showGridLines="false" showRowColHeaders="true" showZeros="true" rightToLeft="false" tabSelected="true" showOutlineSymbols="true" defaultGridColor="true" view="normal" topLeftCell="M16" colorId="64" zoomScale="100" zoomScaleNormal="100" zoomScalePageLayoutView="100" workbookViewId="0">
      <selection pane="topLeft" activeCell="G49" activeCellId="0" sqref="G49"/>
    </sheetView>
  </sheetViews>
  <sheetFormatPr defaultRowHeight="15" zeroHeight="false" outlineLevelRow="0" outlineLevelCol="0"/>
  <cols>
    <col collapsed="false" customWidth="true" hidden="false" outlineLevel="0" max="1" min="1" style="31" width="4.85"/>
    <col collapsed="false" customWidth="true" hidden="false" outlineLevel="0" max="2" min="2" style="31" width="6.14"/>
    <col collapsed="false" customWidth="true" hidden="false" outlineLevel="0" max="3" min="3" style="31" width="11.71"/>
    <col collapsed="false" customWidth="true" hidden="false" outlineLevel="0" max="4" min="4" style="32" width="7.28"/>
    <col collapsed="false" customWidth="true" hidden="false" outlineLevel="0" max="5" min="5" style="33" width="22.57"/>
    <col collapsed="false" customWidth="true" hidden="false" outlineLevel="0" max="7" min="6" style="34" width="4.28"/>
    <col collapsed="false" customWidth="true" hidden="false" outlineLevel="0" max="8" min="8" style="35" width="22.57"/>
    <col collapsed="false" customWidth="true" hidden="false" outlineLevel="0" max="9" min="9" style="36" width="3.43"/>
    <col collapsed="false" customWidth="true" hidden="false" outlineLevel="0" max="10" min="10" style="37" width="14"/>
    <col collapsed="false" customWidth="true" hidden="false" outlineLevel="0" max="14" min="11" style="38" width="5.43"/>
    <col collapsed="false" customWidth="true" hidden="false" outlineLevel="0" max="15" min="15" style="38" width="7.7"/>
    <col collapsed="false" customWidth="true" hidden="false" outlineLevel="0" max="16" min="16" style="38" width="6.7"/>
    <col collapsed="false" customWidth="true" hidden="false" outlineLevel="0" max="17" min="17" style="39" width="3.43"/>
    <col collapsed="false" customWidth="true" hidden="true" outlineLevel="0" max="18" min="18" style="40" width="15.43"/>
    <col collapsed="false" customWidth="true" hidden="true" outlineLevel="0" max="20" min="19" style="41" width="16"/>
    <col collapsed="false" customWidth="true" hidden="true" outlineLevel="0" max="21" min="21" style="42" width="5"/>
    <col collapsed="false" customWidth="true" hidden="true" outlineLevel="0" max="25" min="22" style="40" width="6.14"/>
    <col collapsed="false" customWidth="true" hidden="true" outlineLevel="0" max="26" min="26" style="42" width="4.28"/>
    <col collapsed="false" customWidth="true" hidden="true" outlineLevel="0" max="27" min="27" style="40" width="5.43"/>
    <col collapsed="false" customWidth="true" hidden="true" outlineLevel="0" max="28" min="28" style="42" width="13.43"/>
    <col collapsed="false" customWidth="true" hidden="true" outlineLevel="0" max="33" min="29" style="40" width="5.43"/>
    <col collapsed="false" customWidth="true" hidden="true" outlineLevel="0" max="36" min="34" style="40" width="6"/>
    <col collapsed="false" customWidth="true" hidden="true" outlineLevel="0" max="37" min="37" style="40" width="5.43"/>
    <col collapsed="false" customWidth="true" hidden="true" outlineLevel="0" max="38" min="38" style="40" width="6"/>
    <col collapsed="false" customWidth="true" hidden="true" outlineLevel="0" max="39" min="39" style="42" width="7.14"/>
    <col collapsed="false" customWidth="true" hidden="true" outlineLevel="0" max="40" min="40" style="42" width="10"/>
    <col collapsed="false" customWidth="true" hidden="true" outlineLevel="0" max="41" min="41" style="43" width="15.28"/>
    <col collapsed="false" customWidth="true" hidden="true" outlineLevel="0" max="46" min="42" style="44" width="4.7"/>
    <col collapsed="false" customWidth="true" hidden="true" outlineLevel="0" max="49" min="47" style="43" width="9.14"/>
    <col collapsed="false" customWidth="true" hidden="true" outlineLevel="0" max="50" min="50" style="45" width="9.14"/>
    <col collapsed="false" customWidth="true" hidden="false" outlineLevel="0" max="51" min="51" style="36" width="3.28"/>
    <col collapsed="false" customWidth="true" hidden="false" outlineLevel="0" max="52" min="52" style="36" width="19.71"/>
    <col collapsed="false" customWidth="true" hidden="false" outlineLevel="0" max="54" min="53" style="36" width="3"/>
    <col collapsed="false" customWidth="true" hidden="false" outlineLevel="0" max="56" min="55" style="36" width="2"/>
    <col collapsed="false" customWidth="true" hidden="false" outlineLevel="0" max="57" min="57" style="36" width="3.28"/>
    <col collapsed="false" customWidth="true" hidden="false" outlineLevel="0" max="58" min="58" style="36" width="19.71"/>
    <col collapsed="false" customWidth="true" hidden="false" outlineLevel="0" max="60" min="59" style="36" width="3"/>
    <col collapsed="false" customWidth="true" hidden="false" outlineLevel="0" max="62" min="61" style="36" width="2"/>
    <col collapsed="false" customWidth="true" hidden="false" outlineLevel="0" max="63" min="63" style="36" width="3.28"/>
    <col collapsed="false" customWidth="true" hidden="false" outlineLevel="0" max="64" min="64" style="36" width="19.71"/>
    <col collapsed="false" customWidth="true" hidden="false" outlineLevel="0" max="66" min="65" style="36" width="3"/>
    <col collapsed="false" customWidth="true" hidden="false" outlineLevel="0" max="68" min="67" style="36" width="2"/>
    <col collapsed="false" customWidth="true" hidden="false" outlineLevel="0" max="69" min="69" style="36" width="3.28"/>
    <col collapsed="false" customWidth="true" hidden="false" outlineLevel="0" max="70" min="70" style="36" width="19.71"/>
    <col collapsed="false" customWidth="true" hidden="false" outlineLevel="0" max="72" min="71" style="36" width="3"/>
    <col collapsed="false" customWidth="true" hidden="false" outlineLevel="0" max="1025" min="73" style="36" width="9.14"/>
  </cols>
  <sheetData>
    <row r="1" customFormat="false" ht="46.5" hidden="false" customHeight="false" outlineLevel="0" collapsed="false">
      <c r="A1" s="46" t="str">
        <f aca="false">INDEX(T,2,lang)</f>
        <v>Copa Mundial de Fútbol - Brasil 2018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S1" s="40"/>
      <c r="T1" s="40"/>
      <c r="U1" s="40"/>
      <c r="Z1" s="40"/>
      <c r="AB1" s="40"/>
      <c r="AD1" s="42"/>
      <c r="AE1" s="42"/>
      <c r="AF1" s="43"/>
      <c r="AG1" s="44"/>
      <c r="AH1" s="44"/>
      <c r="AI1" s="44"/>
      <c r="AJ1" s="44"/>
      <c r="AK1" s="44"/>
      <c r="AL1" s="43"/>
      <c r="AM1" s="43"/>
      <c r="AN1" s="43"/>
      <c r="AP1" s="43"/>
      <c r="AQ1" s="43"/>
      <c r="AR1" s="43"/>
      <c r="AS1" s="43"/>
      <c r="AT1" s="43"/>
    </row>
    <row r="2" customFormat="false" ht="3" hidden="false" customHeight="true" outlineLevel="0" collapsed="false">
      <c r="S2" s="40"/>
      <c r="T2" s="40"/>
      <c r="U2" s="40"/>
      <c r="Z2" s="40"/>
      <c r="AB2" s="40"/>
      <c r="AD2" s="42"/>
      <c r="AE2" s="42"/>
      <c r="AF2" s="43"/>
      <c r="AG2" s="44"/>
      <c r="AH2" s="44"/>
      <c r="AI2" s="44"/>
      <c r="AJ2" s="44"/>
      <c r="AK2" s="44"/>
      <c r="AL2" s="43"/>
      <c r="AM2" s="43"/>
      <c r="AN2" s="43"/>
      <c r="AP2" s="43"/>
      <c r="AQ2" s="43"/>
      <c r="AR2" s="43"/>
      <c r="AS2" s="43"/>
      <c r="AT2" s="43"/>
    </row>
    <row r="3" customFormat="false" ht="12.7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7" t="str">
        <f aca="false">"Language: " &amp; Settings!C4</f>
        <v>Language: Spanish</v>
      </c>
      <c r="P3" s="47"/>
      <c r="S3" s="40"/>
      <c r="T3" s="40"/>
      <c r="U3" s="40"/>
      <c r="Z3" s="40"/>
      <c r="AB3" s="40"/>
      <c r="AD3" s="42"/>
      <c r="AE3" s="42"/>
      <c r="AF3" s="43"/>
      <c r="AG3" s="44"/>
      <c r="AH3" s="44"/>
      <c r="AI3" s="44"/>
      <c r="AJ3" s="44"/>
      <c r="AK3" s="44"/>
      <c r="AL3" s="43"/>
      <c r="AM3" s="43"/>
      <c r="AN3" s="43"/>
      <c r="AP3" s="43"/>
      <c r="AQ3" s="43"/>
      <c r="AR3" s="43"/>
      <c r="AS3" s="43"/>
      <c r="AT3" s="43"/>
    </row>
    <row r="4" customFormat="false" ht="3" hidden="false" customHeight="true" outlineLevel="0" collapsed="false"/>
    <row r="5" customFormat="false" ht="15" hidden="false" customHeight="true" outlineLevel="0" collapsed="false">
      <c r="A5" s="48" t="str">
        <f aca="false">INDEX(T,3,lang)</f>
        <v>Fase de grupos</v>
      </c>
      <c r="B5" s="48"/>
      <c r="C5" s="48"/>
      <c r="D5" s="48"/>
      <c r="E5" s="48"/>
      <c r="F5" s="48"/>
      <c r="G5" s="48"/>
      <c r="H5" s="48"/>
      <c r="J5" s="49" t="s">
        <v>2549</v>
      </c>
      <c r="K5" s="49"/>
      <c r="L5" s="49"/>
      <c r="M5" s="49"/>
      <c r="N5" s="49"/>
      <c r="O5" s="49"/>
      <c r="P5" s="49"/>
    </row>
    <row r="6" customFormat="false" ht="15" hidden="false" customHeight="true" outlineLevel="0" collapsed="false">
      <c r="A6" s="48"/>
      <c r="B6" s="48"/>
      <c r="C6" s="48"/>
      <c r="D6" s="48"/>
      <c r="E6" s="48"/>
      <c r="F6" s="48"/>
      <c r="G6" s="48"/>
      <c r="H6" s="48"/>
      <c r="J6" s="49"/>
      <c r="K6" s="49"/>
      <c r="L6" s="49"/>
      <c r="M6" s="49"/>
      <c r="N6" s="49"/>
      <c r="O6" s="49"/>
      <c r="P6" s="49"/>
      <c r="R6" s="40" t="s">
        <v>2550</v>
      </c>
      <c r="V6" s="40" t="s">
        <v>2551</v>
      </c>
      <c r="W6" s="40" t="s">
        <v>2552</v>
      </c>
      <c r="AA6" s="40" t="s">
        <v>2553</v>
      </c>
      <c r="AB6" s="40" t="s">
        <v>1046</v>
      </c>
      <c r="AC6" s="40" t="s">
        <v>379</v>
      </c>
      <c r="AD6" s="40" t="s">
        <v>416</v>
      </c>
      <c r="AE6" s="40" t="s">
        <v>349</v>
      </c>
      <c r="AF6" s="40" t="s">
        <v>2551</v>
      </c>
      <c r="AG6" s="40" t="s">
        <v>2552</v>
      </c>
      <c r="AH6" s="40" t="s">
        <v>2554</v>
      </c>
      <c r="AI6" s="40" t="s">
        <v>2554</v>
      </c>
      <c r="AK6" s="40" t="s">
        <v>2555</v>
      </c>
      <c r="AL6" s="40" t="s">
        <v>395</v>
      </c>
      <c r="AM6" s="40" t="s">
        <v>2556</v>
      </c>
      <c r="AN6" s="40" t="s">
        <v>2557</v>
      </c>
      <c r="AP6" s="44" t="s">
        <v>379</v>
      </c>
      <c r="AQ6" s="44" t="s">
        <v>416</v>
      </c>
      <c r="AR6" s="44" t="s">
        <v>2551</v>
      </c>
      <c r="AS6" s="44" t="s">
        <v>2552</v>
      </c>
      <c r="AT6" s="44" t="s">
        <v>2558</v>
      </c>
      <c r="AY6" s="50" t="str">
        <f aca="false">INDEX(T,4,lang)</f>
        <v>Octavos de final</v>
      </c>
      <c r="AZ6" s="50"/>
      <c r="BA6" s="50"/>
      <c r="BB6" s="50"/>
      <c r="BE6" s="50" t="str">
        <f aca="false">INDEX(T,5,lang)</f>
        <v>Cuartos de Final</v>
      </c>
      <c r="BF6" s="50"/>
      <c r="BG6" s="50"/>
      <c r="BH6" s="50"/>
      <c r="BK6" s="50" t="str">
        <f aca="false">INDEX(T,6,lang)</f>
        <v>Semifinales</v>
      </c>
      <c r="BL6" s="50"/>
      <c r="BM6" s="50"/>
      <c r="BN6" s="50"/>
      <c r="BQ6" s="50" t="str">
        <f aca="false">INDEX(T,8,lang)</f>
        <v>Final</v>
      </c>
      <c r="BR6" s="50"/>
      <c r="BS6" s="50"/>
      <c r="BT6" s="50"/>
    </row>
    <row r="7" customFormat="false" ht="15" hidden="false" customHeight="true" outlineLevel="0" collapsed="false">
      <c r="A7" s="51" t="n">
        <v>1</v>
      </c>
      <c r="B7" s="52" t="str">
        <f aca="false">INDEX(T,18+INT(MOD(R7-1,7)),lang)</f>
        <v>Thu</v>
      </c>
      <c r="C7" s="53" t="str">
        <f aca="false">INDEX(T,24+MONTH(R7),lang) &amp; " " &amp; DAY(R7) &amp; ", " &amp; YEAR(R7)</f>
        <v>Jun 14, 2018</v>
      </c>
      <c r="D7" s="54" t="n">
        <f aca="false">TIME(HOUR(R7),MINUTE(R7),0)</f>
        <v>0.458333333333333</v>
      </c>
      <c r="E7" s="55" t="str">
        <f aca="false">AB8</f>
        <v>Rusia</v>
      </c>
      <c r="F7" s="56" t="n">
        <v>5</v>
      </c>
      <c r="G7" s="57" t="n">
        <v>0</v>
      </c>
      <c r="H7" s="58" t="str">
        <f aca="false">AB9</f>
        <v>Arabia Saudita</v>
      </c>
      <c r="R7" s="40" t="n">
        <f aca="false">DATE(2018,6,14)+TIME(4,0,0)+gmt_delta</f>
        <v>43265.4583333333</v>
      </c>
      <c r="S7" s="41" t="str">
        <f aca="false">IF(OR(F7="",G7=""),"",IF(F7&gt;G7,E7&amp;"_win",IF(F7&lt;G7,E7&amp;"_lose",E7&amp;"_draw")))</f>
        <v>Rusia_win</v>
      </c>
      <c r="T7" s="41" t="str">
        <f aca="false">IF(S7="","",IF(F7&lt;G7,H7&amp;"_win",IF(F7&gt;G7,H7&amp;"_lose",H7&amp;"_draw")))</f>
        <v>Arabia Saudita_lose</v>
      </c>
      <c r="U7" s="42" t="n">
        <f aca="false">IF(S7="",0,IF(VLOOKUP(E7,$AB$8:$AK$53,7,0)=VLOOKUP(H7,$AB$8:$AK$53,7,0),1,0))</f>
        <v>0</v>
      </c>
      <c r="V7" s="40" t="n">
        <f aca="false">U7*F7</f>
        <v>0</v>
      </c>
      <c r="W7" s="40" t="n">
        <f aca="false">U7*G7</f>
        <v>0</v>
      </c>
      <c r="X7" s="40" t="n">
        <f aca="false">IF(OR(E7=my_team,H7=my_team),1,0)</f>
        <v>0</v>
      </c>
      <c r="Y7" s="40" t="n">
        <f aca="false">IF(OR(F7="",G7=""),"",IF(F7&gt;G7,1,IF(F7&lt;G7,-1,0)))</f>
        <v>1</v>
      </c>
      <c r="AY7" s="50"/>
      <c r="AZ7" s="50"/>
      <c r="BA7" s="50"/>
      <c r="BB7" s="50"/>
      <c r="BE7" s="50"/>
      <c r="BF7" s="50"/>
      <c r="BG7" s="50"/>
      <c r="BH7" s="50"/>
      <c r="BK7" s="50"/>
      <c r="BL7" s="50"/>
      <c r="BM7" s="50"/>
      <c r="BN7" s="50"/>
      <c r="BQ7" s="50"/>
      <c r="BR7" s="50"/>
      <c r="BS7" s="50"/>
      <c r="BT7" s="50"/>
    </row>
    <row r="8" customFormat="false" ht="15" hidden="false" customHeight="true" outlineLevel="0" collapsed="false">
      <c r="A8" s="59" t="n">
        <v>2</v>
      </c>
      <c r="B8" s="60" t="str">
        <f aca="false">INDEX(T,18+INT(MOD(R8-1,7)),lang)</f>
        <v>Fri</v>
      </c>
      <c r="C8" s="61" t="str">
        <f aca="false">INDEX(T,24+MONTH(R8),lang) &amp; " " &amp; DAY(R8) &amp; ", " &amp; YEAR(R8)</f>
        <v>Jun 15, 2018</v>
      </c>
      <c r="D8" s="62" t="n">
        <f aca="false">TIME(HOUR(R8),MINUTE(R8),0)</f>
        <v>0.333333333333333</v>
      </c>
      <c r="E8" s="63" t="str">
        <f aca="false">AB10</f>
        <v>Egipto</v>
      </c>
      <c r="F8" s="64" t="n">
        <v>0</v>
      </c>
      <c r="G8" s="65" t="n">
        <v>1</v>
      </c>
      <c r="H8" s="66" t="str">
        <f aca="false">AB11</f>
        <v>Uruguay</v>
      </c>
      <c r="J8" s="67" t="str">
        <f aca="false">INDEX(T,9,lang) &amp; " " &amp; "A"</f>
        <v>Grupo A</v>
      </c>
      <c r="K8" s="68" t="str">
        <f aca="false">INDEX(T,10,lang)</f>
        <v>J</v>
      </c>
      <c r="L8" s="68" t="str">
        <f aca="false">INDEX(T,11,lang)</f>
        <v>G</v>
      </c>
      <c r="M8" s="68" t="str">
        <f aca="false">INDEX(T,12,lang)</f>
        <v>DRAW</v>
      </c>
      <c r="N8" s="68" t="str">
        <f aca="false">INDEX(T,13,lang)</f>
        <v>P</v>
      </c>
      <c r="O8" s="68" t="str">
        <f aca="false">INDEX(T,14,lang)</f>
        <v>GF - GC</v>
      </c>
      <c r="P8" s="69" t="str">
        <f aca="false">INDEX(T,15,lang)</f>
        <v>PTS</v>
      </c>
      <c r="R8" s="40" t="n">
        <f aca="false">DATE(2018,6,15)+TIME(1,0,0)+gmt_delta</f>
        <v>43266.3333333333</v>
      </c>
      <c r="S8" s="41" t="str">
        <f aca="false">IF(OR(F8="",G8=""),"",IF(F8&gt;G8,E8&amp;"_win",IF(F8&lt;G8,E8&amp;"_lose",E8&amp;"_draw")))</f>
        <v>Egipto_lose</v>
      </c>
      <c r="T8" s="41" t="str">
        <f aca="false">IF(S8="","",IF(F8&lt;G8,H8&amp;"_win",IF(F8&gt;G8,H8&amp;"_lose",H8&amp;"_draw")))</f>
        <v>Uruguay_win</v>
      </c>
      <c r="U8" s="42" t="n">
        <f aca="false">IF(S8="",0,IF(VLOOKUP(E8,$AB$8:$AK$53,7,0)=VLOOKUP(H8,$AB$8:$AK$53,7,0),1,0))</f>
        <v>0</v>
      </c>
      <c r="V8" s="40" t="n">
        <f aca="false">U8*F8</f>
        <v>0</v>
      </c>
      <c r="W8" s="40" t="n">
        <f aca="false">U8*G8</f>
        <v>0</v>
      </c>
      <c r="X8" s="40" t="n">
        <f aca="false">IF(OR(E8=my_team,H8=my_team),1,0)</f>
        <v>0</v>
      </c>
      <c r="Y8" s="40" t="n">
        <f aca="false">IF(OR(F8="",G8=""),"",IF(F8&gt;G8,1,IF(F8&lt;G8,-1,0)))</f>
        <v>-1</v>
      </c>
      <c r="AA8" s="40" t="n">
        <f aca="false">COUNTIF(AN8:AN11,CONCATENATE("&gt;=",AN8))</f>
        <v>2</v>
      </c>
      <c r="AB8" s="42" t="str">
        <f aca="false">VLOOKUP("Russia",T,lang,0)</f>
        <v>Rusia</v>
      </c>
      <c r="AC8" s="40" t="n">
        <f aca="false">COUNTIF($S$7:$T$54,"=" &amp; AB8 &amp; "_win")</f>
        <v>2</v>
      </c>
      <c r="AD8" s="40" t="n">
        <f aca="false">COUNTIF($S$7:$T$54,"=" &amp; AB8 &amp; "_draw")</f>
        <v>0</v>
      </c>
      <c r="AE8" s="40" t="n">
        <f aca="false">COUNTIF($S$7:$T$54,"=" &amp; AB8 &amp; "_lose")</f>
        <v>1</v>
      </c>
      <c r="AF8" s="40" t="n">
        <f aca="false">SUMIF($E$7:$E$54,$AB8,$F$7:$F$54) + SUMIF($H$7:$H$54,$AB8,$G$7:$G$54)</f>
        <v>8</v>
      </c>
      <c r="AG8" s="40" t="n">
        <f aca="false">SUMIF($E$7:$E$54,$AB8,$G$7:$G$54) + SUMIF($H$7:$H$54,$AB8,$F$7:$F$54)</f>
        <v>4</v>
      </c>
      <c r="AH8" s="40" t="n">
        <f aca="false">(AF8-AG8)+1</f>
        <v>5</v>
      </c>
      <c r="AI8" s="40" t="n">
        <f aca="false">AF8-AG8</f>
        <v>4</v>
      </c>
      <c r="AJ8" s="40" t="n">
        <f aca="false">(AI8-AI13)/AI12</f>
        <v>0.818181818181818</v>
      </c>
      <c r="AK8" s="40" t="n">
        <f aca="false">AC8*3+AD8</f>
        <v>6</v>
      </c>
      <c r="AL8" s="40" t="n">
        <f aca="false">AP8/AP12*1000+AQ8/AQ12*100+AT8/AT12*10+AR8/AR12</f>
        <v>0</v>
      </c>
      <c r="AM8" s="40" t="n">
        <f aca="false">VLOOKUP(AB8,db_fifarank,2,0)/2000000</f>
        <v>0.000267</v>
      </c>
      <c r="AN8" s="42" t="n">
        <f aca="false">1000*AK8/AK12+100*AJ8+10*AF8/AF12+1*AL8/AL12+AM8</f>
        <v>693.247020246753</v>
      </c>
      <c r="AO8" s="43" t="str">
        <f aca="false">IF(SUM(AC8:AE11)=12,J9,INDEX(T,70,lang))</f>
        <v>Uruguay</v>
      </c>
      <c r="AP8" s="44" t="n">
        <f aca="false">SUMPRODUCT(($S$7:$S$54=AB8&amp;"_win")*($U$7:$U$54))+SUMPRODUCT(($T$7:$T$54=AB8&amp;"_win")*($U$7:$U$54))</f>
        <v>0</v>
      </c>
      <c r="AQ8" s="44" t="n">
        <f aca="false">SUMPRODUCT(($S$7:$S$54=AB8&amp;"_draw")*($U$7:$U$54))+SUMPRODUCT(($T$7:$T$54=AB8&amp;"_draw")*($U$7:$U$54))</f>
        <v>0</v>
      </c>
      <c r="AR8" s="44" t="n">
        <f aca="false">SUMPRODUCT(($E$7:$E$54=AB8)*($U$7:$U$54)*($F$7:$F$54))+SUMPRODUCT(($H$7:$H$54=AB8)*($U$7:$U$54)*($G$7:$G$54))</f>
        <v>0</v>
      </c>
      <c r="AS8" s="44" t="n">
        <f aca="false">SUMPRODUCT(($E$7:$E$54=AB8)*($U$7:$U$54)*($G$7:$G$54))+SUMPRODUCT(($H$7:$H$54=AB8)*($U$7:$U$54)*($F$7:$F$54))</f>
        <v>0</v>
      </c>
      <c r="AT8" s="44" t="n">
        <f aca="false">AR8-AS8</f>
        <v>0</v>
      </c>
      <c r="BF8" s="70"/>
      <c r="BG8" s="70"/>
      <c r="BL8" s="70"/>
      <c r="BM8" s="70"/>
      <c r="BN8" s="70"/>
      <c r="BO8" s="70"/>
      <c r="BP8" s="70"/>
      <c r="BQ8" s="70"/>
      <c r="BR8" s="70"/>
      <c r="BS8" s="70"/>
      <c r="BT8" s="70"/>
    </row>
    <row r="9" customFormat="false" ht="15" hidden="false" customHeight="true" outlineLevel="0" collapsed="false">
      <c r="A9" s="59" t="n">
        <v>3</v>
      </c>
      <c r="B9" s="60" t="str">
        <f aca="false">INDEX(T,18+INT(MOD(R9-1,7)),lang)</f>
        <v>Fri</v>
      </c>
      <c r="C9" s="61" t="str">
        <f aca="false">INDEX(T,24+MONTH(R9),lang) &amp; " " &amp; DAY(R9) &amp; ", " &amp; YEAR(R9)</f>
        <v>Jun 15, 2018</v>
      </c>
      <c r="D9" s="62" t="n">
        <f aca="false">TIME(HOUR(R9),MINUTE(R9),0)</f>
        <v>0.583333333333333</v>
      </c>
      <c r="E9" s="63" t="str">
        <f aca="false">AB14</f>
        <v>Portugal</v>
      </c>
      <c r="F9" s="64" t="n">
        <v>3</v>
      </c>
      <c r="G9" s="65" t="n">
        <v>3</v>
      </c>
      <c r="H9" s="66" t="str">
        <f aca="false">AB15</f>
        <v>España</v>
      </c>
      <c r="J9" s="71" t="str">
        <f aca="false">VLOOKUP(1,AA8:AK11,2,0)</f>
        <v>Uruguay</v>
      </c>
      <c r="K9" s="72" t="n">
        <f aca="false">L9+M9+N9</f>
        <v>3</v>
      </c>
      <c r="L9" s="72" t="n">
        <f aca="false">VLOOKUP(1,AA8:AK11,3,0)</f>
        <v>3</v>
      </c>
      <c r="M9" s="72" t="n">
        <f aca="false">VLOOKUP(1,AA8:AK11,4,0)</f>
        <v>0</v>
      </c>
      <c r="N9" s="72" t="n">
        <f aca="false">VLOOKUP(1,AA8:AK11,5,0)</f>
        <v>0</v>
      </c>
      <c r="O9" s="72" t="str">
        <f aca="false">VLOOKUP(1,AA8:AK11,6,0) &amp; " - " &amp; VLOOKUP(1,AA8:AK11,7,0)</f>
        <v>5 - 0</v>
      </c>
      <c r="P9" s="73" t="n">
        <f aca="false">L9*3+M9</f>
        <v>9</v>
      </c>
      <c r="R9" s="40" t="n">
        <f aca="false">DATE(2018,6,15)+TIME(7,0,0)+gmt_delta</f>
        <v>43266.5833333333</v>
      </c>
      <c r="S9" s="41" t="str">
        <f aca="false">IF(OR(F9="",G9=""),"",IF(F9&gt;G9,E9&amp;"_win",IF(F9&lt;G9,E9&amp;"_lose",E9&amp;"_draw")))</f>
        <v>Portugal_draw</v>
      </c>
      <c r="T9" s="41" t="str">
        <f aca="false">IF(S9="","",IF(F9&lt;G9,H9&amp;"_win",IF(F9&gt;G9,H9&amp;"_lose",H9&amp;"_draw")))</f>
        <v>España_draw</v>
      </c>
      <c r="U9" s="42" t="n">
        <f aca="false">IF(S9="",0,IF(VLOOKUP(E9,$AB$8:$AK$53,7,0)=VLOOKUP(H9,$AB$8:$AK$53,7,0),1,0))</f>
        <v>0</v>
      </c>
      <c r="V9" s="40" t="n">
        <f aca="false">U9*F9</f>
        <v>0</v>
      </c>
      <c r="W9" s="40" t="n">
        <f aca="false">U9*G9</f>
        <v>0</v>
      </c>
      <c r="X9" s="40" t="n">
        <f aca="false">IF(OR(E9=my_team,H9=my_team),1,0)</f>
        <v>0</v>
      </c>
      <c r="Y9" s="40" t="n">
        <f aca="false">IF(OR(F9="",G9=""),"",IF(F9&gt;G9,1,IF(F9&lt;G9,-1,0)))</f>
        <v>0</v>
      </c>
      <c r="AA9" s="40" t="n">
        <f aca="false">COUNTIF(AN8:AN11,CONCATENATE("&gt;=",AN9))</f>
        <v>3</v>
      </c>
      <c r="AB9" s="42" t="str">
        <f aca="false">VLOOKUP("Saudi Arabia",T,lang,0)</f>
        <v>Arabia Saudita</v>
      </c>
      <c r="AC9" s="40" t="n">
        <f aca="false">COUNTIF($S$7:$T$54,"=" &amp; AB9 &amp; "_win")</f>
        <v>1</v>
      </c>
      <c r="AD9" s="40" t="n">
        <f aca="false">COUNTIF($S$7:$T$54,"=" &amp; AB9 &amp; "_draw")</f>
        <v>0</v>
      </c>
      <c r="AE9" s="40" t="n">
        <f aca="false">COUNTIF($S$7:$T$54,"=" &amp; AB9 &amp; "_lose")</f>
        <v>2</v>
      </c>
      <c r="AF9" s="40" t="n">
        <f aca="false">SUMIF($E$7:$E$54,$AB9,$F$7:$F$54) + SUMIF($H$7:$H$54,$AB9,$G$7:$G$54)</f>
        <v>2</v>
      </c>
      <c r="AG9" s="40" t="n">
        <f aca="false">SUMIF($E$7:$E$54,$AB9,$G$7:$G$54) + SUMIF($H$7:$H$54,$AB9,$F$7:$F$54)</f>
        <v>7</v>
      </c>
      <c r="AH9" s="40" t="n">
        <f aca="false">(AF9-AG9)+1</f>
        <v>-4</v>
      </c>
      <c r="AI9" s="40" t="n">
        <f aca="false">AF9-AG9</f>
        <v>-5</v>
      </c>
      <c r="AJ9" s="40" t="n">
        <f aca="false">(AI9-AI13)/AI12</f>
        <v>0</v>
      </c>
      <c r="AK9" s="40" t="n">
        <f aca="false">AC9*3+AD9</f>
        <v>3</v>
      </c>
      <c r="AL9" s="40" t="n">
        <f aca="false">AP9/AP12*1000+AQ9/AQ12*100+AT9/AT12*10+AR9/AR12</f>
        <v>0</v>
      </c>
      <c r="AM9" s="40" t="n">
        <f aca="false">VLOOKUP(AB9,db_fifarank,2,0)/2000000</f>
        <v>0.0002715</v>
      </c>
      <c r="AN9" s="42" t="n">
        <f aca="false">1000*AK9/AK12+100*AJ9+10*AF9/AF12+1*AL9/AL12+AM9</f>
        <v>302.857414357143</v>
      </c>
      <c r="AO9" s="43" t="str">
        <f aca="false">IF(SUM(AC8:AE11)=12,J10,INDEX(T,71,lang))</f>
        <v>Rusia</v>
      </c>
      <c r="AP9" s="44" t="n">
        <f aca="false">SUMPRODUCT(($S$7:$S$54=AB9&amp;"_win")*($U$7:$U$54))+SUMPRODUCT(($T$7:$T$54=AB9&amp;"_win")*($U$7:$U$54))</f>
        <v>0</v>
      </c>
      <c r="AQ9" s="44" t="n">
        <f aca="false">SUMPRODUCT(($S$7:$S$54=AB9&amp;"_draw")*($U$7:$U$54))+SUMPRODUCT(($T$7:$T$54=AB9&amp;"_draw")*($U$7:$U$54))</f>
        <v>0</v>
      </c>
      <c r="AR9" s="44" t="n">
        <f aca="false">SUMPRODUCT(($E$7:$E$54=AB9)*($U$7:$U$54)*($F$7:$F$54))+SUMPRODUCT(($H$7:$H$54=AB9)*($U$7:$U$54)*($G$7:$G$54))</f>
        <v>0</v>
      </c>
      <c r="AS9" s="44" t="n">
        <f aca="false">SUMPRODUCT(($E$7:$E$54=AB9)*($U$7:$U$54)*($G$7:$G$54))+SUMPRODUCT(($H$7:$H$54=AB9)*($U$7:$U$54)*($F$7:$F$54))</f>
        <v>0</v>
      </c>
      <c r="AT9" s="44" t="n">
        <f aca="false">AR9-AS9</f>
        <v>0</v>
      </c>
      <c r="AY9" s="70" t="str">
        <f aca="false">INDEX(T,24+MONTH(R58),lang) &amp; " " &amp; DAY(R58) &amp; ", " &amp; YEAR(R58) &amp; "   " &amp; TEXT(TIME(HOUR(R58),MINUTE(R58),0),"hh:mm")</f>
        <v>Jun 30, 2018   14:00</v>
      </c>
      <c r="AZ9" s="70"/>
      <c r="BA9" s="70"/>
      <c r="BB9" s="74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0"/>
      <c r="BR9" s="70"/>
      <c r="BS9" s="70"/>
      <c r="BT9" s="70"/>
    </row>
    <row r="10" customFormat="false" ht="15" hidden="false" customHeight="true" outlineLevel="0" collapsed="false">
      <c r="A10" s="59" t="n">
        <v>4</v>
      </c>
      <c r="B10" s="60" t="str">
        <f aca="false">INDEX(T,18+INT(MOD(R10-1,7)),lang)</f>
        <v>Fri</v>
      </c>
      <c r="C10" s="61" t="str">
        <f aca="false">INDEX(T,24+MONTH(R10),lang) &amp; " " &amp; DAY(R10) &amp; ", " &amp; YEAR(R10)</f>
        <v>Jun 15, 2018</v>
      </c>
      <c r="D10" s="62" t="n">
        <f aca="false">TIME(HOUR(R10),MINUTE(R10),0)</f>
        <v>0.458333333333333</v>
      </c>
      <c r="E10" s="63" t="str">
        <f aca="false">AB16</f>
        <v>Marruecos</v>
      </c>
      <c r="F10" s="64" t="n">
        <v>0</v>
      </c>
      <c r="G10" s="65" t="n">
        <v>1</v>
      </c>
      <c r="H10" s="66" t="str">
        <f aca="false">AB17</f>
        <v>Irán</v>
      </c>
      <c r="J10" s="75" t="str">
        <f aca="false">VLOOKUP(2,AA8:AK11,2,0)</f>
        <v>Rusia</v>
      </c>
      <c r="K10" s="76" t="n">
        <f aca="false">L10+M10+N10</f>
        <v>3</v>
      </c>
      <c r="L10" s="76" t="n">
        <f aca="false">VLOOKUP(2,AA8:AK11,3,0)</f>
        <v>2</v>
      </c>
      <c r="M10" s="76" t="n">
        <f aca="false">VLOOKUP(2,AA8:AK11,4,0)</f>
        <v>0</v>
      </c>
      <c r="N10" s="76" t="n">
        <f aca="false">VLOOKUP(2,AA8:AK11,5,0)</f>
        <v>1</v>
      </c>
      <c r="O10" s="76" t="str">
        <f aca="false">VLOOKUP(2,AA8:AK11,6,0) &amp; " - " &amp; VLOOKUP(2,AA8:AK11,7,0)</f>
        <v>8 - 4</v>
      </c>
      <c r="P10" s="77" t="n">
        <f aca="false">L10*3+M10</f>
        <v>6</v>
      </c>
      <c r="R10" s="40" t="n">
        <f aca="false">DATE(2018,6,15)+TIME(4,0,0)+gmt_delta</f>
        <v>43266.4583333333</v>
      </c>
      <c r="S10" s="41" t="str">
        <f aca="false">IF(OR(F10="",G10=""),"",IF(F10&gt;G10,E10&amp;"_win",IF(F10&lt;G10,E10&amp;"_lose",E10&amp;"_draw")))</f>
        <v>Marruecos_lose</v>
      </c>
      <c r="T10" s="41" t="str">
        <f aca="false">IF(S10="","",IF(F10&lt;G10,H10&amp;"_win",IF(F10&gt;G10,H10&amp;"_lose",H10&amp;"_draw")))</f>
        <v>Irán_win</v>
      </c>
      <c r="U10" s="42" t="n">
        <f aca="false">IF(S10="",0,IF(VLOOKUP(E10,$AB$8:$AK$53,7,0)=VLOOKUP(H10,$AB$8:$AK$53,7,0),1,0))</f>
        <v>0</v>
      </c>
      <c r="V10" s="40" t="n">
        <f aca="false">U10*F10</f>
        <v>0</v>
      </c>
      <c r="W10" s="40" t="n">
        <f aca="false">U10*G10</f>
        <v>0</v>
      </c>
      <c r="X10" s="40" t="n">
        <f aca="false">IF(OR(E10=my_team,H10=my_team),1,0)</f>
        <v>0</v>
      </c>
      <c r="Y10" s="40" t="n">
        <f aca="false">IF(OR(F10="",G10=""),"",IF(F10&gt;G10,1,IF(F10&lt;G10,-1,0)))</f>
        <v>-1</v>
      </c>
      <c r="AA10" s="40" t="n">
        <f aca="false">COUNTIF(AN8:AN11,CONCATENATE("&gt;=",AN10))</f>
        <v>4</v>
      </c>
      <c r="AB10" s="42" t="str">
        <f aca="false">VLOOKUP("Egypt",T,lang,0)</f>
        <v>Egipto</v>
      </c>
      <c r="AC10" s="40" t="n">
        <f aca="false">COUNTIF($S$7:$T$54,"=" &amp; AB10 &amp; "_win")</f>
        <v>0</v>
      </c>
      <c r="AD10" s="40" t="n">
        <f aca="false">COUNTIF($S$7:$T$54,"=" &amp; AB10 &amp; "_draw")</f>
        <v>0</v>
      </c>
      <c r="AE10" s="40" t="n">
        <f aca="false">COUNTIF($S$7:$T$54,"=" &amp; AB10 &amp; "_lose")</f>
        <v>3</v>
      </c>
      <c r="AF10" s="40" t="n">
        <f aca="false">SUMIF($E$7:$E$54,$AB10,$F$7:$F$54) + SUMIF($H$7:$H$54,$AB10,$G$7:$G$54)</f>
        <v>2</v>
      </c>
      <c r="AG10" s="40" t="n">
        <f aca="false">SUMIF($E$7:$E$54,$AB10,$G$7:$G$54) + SUMIF($H$7:$H$54,$AB10,$F$7:$F$54)</f>
        <v>6</v>
      </c>
      <c r="AH10" s="40" t="n">
        <f aca="false">(AF10-AG10)+1</f>
        <v>-3</v>
      </c>
      <c r="AI10" s="40" t="n">
        <f aca="false">AF10-AG10</f>
        <v>-4</v>
      </c>
      <c r="AJ10" s="40" t="n">
        <f aca="false">(AI10-AI13)/AI12</f>
        <v>0.0909090909090909</v>
      </c>
      <c r="AK10" s="40" t="n">
        <f aca="false">AC10*3+AD10</f>
        <v>0</v>
      </c>
      <c r="AL10" s="40" t="n">
        <f aca="false">AP10/AP12*1000+AQ10/AQ12*100+AT10/AT12*10+AR10/AR12</f>
        <v>0</v>
      </c>
      <c r="AM10" s="40" t="n">
        <f aca="false">VLOOKUP(AB10,db_fifarank,2,0)/2000000</f>
        <v>0.0004025</v>
      </c>
      <c r="AN10" s="42" t="n">
        <f aca="false">1000*AK10/AK12+100*AJ10+10*AF10/AF12+1*AL10/AL12+AM10</f>
        <v>11.9484544480519</v>
      </c>
      <c r="AP10" s="44" t="n">
        <f aca="false">SUMPRODUCT(($S$7:$S$54=AB10&amp;"_win")*($U$7:$U$54))+SUMPRODUCT(($T$7:$T$54=AB10&amp;"_win")*($U$7:$U$54))</f>
        <v>0</v>
      </c>
      <c r="AQ10" s="44" t="n">
        <f aca="false">SUMPRODUCT(($S$7:$S$54=AB10&amp;"_draw")*($U$7:$U$54))+SUMPRODUCT(($T$7:$T$54=AB10&amp;"_draw")*($U$7:$U$54))</f>
        <v>0</v>
      </c>
      <c r="AR10" s="44" t="n">
        <f aca="false">SUMPRODUCT(($E$7:$E$54=AB10)*($U$7:$U$54)*($F$7:$F$54))+SUMPRODUCT(($H$7:$H$54=AB10)*($U$7:$U$54)*($G$7:$G$54))</f>
        <v>0</v>
      </c>
      <c r="AS10" s="44" t="n">
        <f aca="false">SUMPRODUCT(($E$7:$E$54=AB10)*($U$7:$U$54)*($G$7:$G$54))+SUMPRODUCT(($H$7:$H$54=AB10)*($U$7:$U$54)*($F$7:$F$54))</f>
        <v>0</v>
      </c>
      <c r="AT10" s="44" t="n">
        <f aca="false">AR10-AS10</f>
        <v>0</v>
      </c>
      <c r="AY10" s="78" t="n">
        <v>49</v>
      </c>
      <c r="AZ10" s="79" t="str">
        <f aca="false">AO8</f>
        <v>Uruguay</v>
      </c>
      <c r="BA10" s="80"/>
      <c r="BB10" s="81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</row>
    <row r="11" customFormat="false" ht="15" hidden="false" customHeight="true" outlineLevel="0" collapsed="false">
      <c r="A11" s="59" t="n">
        <v>5</v>
      </c>
      <c r="B11" s="60" t="str">
        <f aca="false">INDEX(T,18+INT(MOD(R11-1,7)),lang)</f>
        <v>Sat</v>
      </c>
      <c r="C11" s="61" t="str">
        <f aca="false">INDEX(T,24+MONTH(R11),lang) &amp; " " &amp; DAY(R11) &amp; ", " &amp; YEAR(R11)</f>
        <v>Jun 16, 2018</v>
      </c>
      <c r="D11" s="62" t="n">
        <f aca="false">TIME(HOUR(R11),MINUTE(R11),0)</f>
        <v>0.25</v>
      </c>
      <c r="E11" s="63" t="str">
        <f aca="false">AB20</f>
        <v>Francia</v>
      </c>
      <c r="F11" s="64" t="n">
        <v>2</v>
      </c>
      <c r="G11" s="65" t="n">
        <v>1</v>
      </c>
      <c r="H11" s="66" t="str">
        <f aca="false">AB21</f>
        <v>Australia</v>
      </c>
      <c r="J11" s="75" t="str">
        <f aca="false">VLOOKUP(3,AA8:AK11,2,0)</f>
        <v>Arabia Saudita</v>
      </c>
      <c r="K11" s="76" t="n">
        <f aca="false">L11+M11+N11</f>
        <v>3</v>
      </c>
      <c r="L11" s="76" t="n">
        <f aca="false">VLOOKUP(3,AA8:AK11,3,0)</f>
        <v>1</v>
      </c>
      <c r="M11" s="76" t="n">
        <f aca="false">VLOOKUP(3,AA8:AK11,4,0)</f>
        <v>0</v>
      </c>
      <c r="N11" s="76" t="n">
        <f aca="false">VLOOKUP(3,AA8:AK11,5,0)</f>
        <v>2</v>
      </c>
      <c r="O11" s="76" t="str">
        <f aca="false">VLOOKUP(3,AA8:AK11,6,0) &amp; " - " &amp; VLOOKUP(3,AA8:AK11,7,0)</f>
        <v>2 - 7</v>
      </c>
      <c r="P11" s="77" t="n">
        <f aca="false">L11*3+M11</f>
        <v>3</v>
      </c>
      <c r="R11" s="40" t="n">
        <f aca="false">DATE(2018,6,15)+TIME(23,0,0)+gmt_delta</f>
        <v>43267.25</v>
      </c>
      <c r="S11" s="41" t="str">
        <f aca="false">IF(OR(F11="",G11=""),"",IF(F11&gt;G11,E11&amp;"_win",IF(F11&lt;G11,E11&amp;"_lose",E11&amp;"_draw")))</f>
        <v>Francia_win</v>
      </c>
      <c r="T11" s="41" t="str">
        <f aca="false">IF(S11="","",IF(F11&lt;G11,H11&amp;"_win",IF(F11&gt;G11,H11&amp;"_lose",H11&amp;"_draw")))</f>
        <v>Australia_lose</v>
      </c>
      <c r="U11" s="42" t="n">
        <f aca="false">IF(S11="",0,IF(VLOOKUP(E11,$AB$8:$AK$53,7,0)=VLOOKUP(H11,$AB$8:$AK$53,7,0),1,0))</f>
        <v>0</v>
      </c>
      <c r="V11" s="40" t="n">
        <f aca="false">U11*F11</f>
        <v>0</v>
      </c>
      <c r="W11" s="40" t="n">
        <f aca="false">U11*G11</f>
        <v>0</v>
      </c>
      <c r="X11" s="40" t="n">
        <f aca="false">IF(OR(E11=my_team,H11=my_team),1,0)</f>
        <v>0</v>
      </c>
      <c r="Y11" s="40" t="n">
        <f aca="false">IF(OR(F11="",G11=""),"",IF(F11&gt;G11,1,IF(F11&lt;G11,-1,0)))</f>
        <v>1</v>
      </c>
      <c r="AA11" s="40" t="n">
        <f aca="false">COUNTIF(AN8:AN11,CONCATENATE("&gt;=",AN11))</f>
        <v>1</v>
      </c>
      <c r="AB11" s="42" t="str">
        <f aca="false">VLOOKUP("Uruguay",T,lang,0)</f>
        <v>Uruguay</v>
      </c>
      <c r="AC11" s="40" t="n">
        <f aca="false">COUNTIF($S$7:$T$54,"=" &amp; AB11 &amp; "_win")</f>
        <v>3</v>
      </c>
      <c r="AD11" s="40" t="n">
        <f aca="false">COUNTIF($S$7:$T$54,"=" &amp; AB11 &amp; "_draw")</f>
        <v>0</v>
      </c>
      <c r="AE11" s="40" t="n">
        <f aca="false">COUNTIF($S$7:$T$54,"=" &amp; AB11 &amp; "_lose")</f>
        <v>0</v>
      </c>
      <c r="AF11" s="40" t="n">
        <f aca="false">SUMIF($E$7:$E$54,$AB11,$F$7:$F$54) + SUMIF($H$7:$H$54,$AB11,$G$7:$G$54)</f>
        <v>5</v>
      </c>
      <c r="AG11" s="40" t="n">
        <f aca="false">SUMIF($E$7:$E$54,$AB11,$G$7:$G$54) + SUMIF($H$7:$H$54,$AB11,$F$7:$F$54)</f>
        <v>0</v>
      </c>
      <c r="AH11" s="40" t="n">
        <f aca="false">(AF11-AG11)+1</f>
        <v>6</v>
      </c>
      <c r="AI11" s="40" t="n">
        <f aca="false">AF11-AG11</f>
        <v>5</v>
      </c>
      <c r="AJ11" s="40" t="n">
        <f aca="false">(AI11-AI13)/AI12</f>
        <v>0.909090909090909</v>
      </c>
      <c r="AK11" s="40" t="n">
        <f aca="false">AC11*3+AD11</f>
        <v>9</v>
      </c>
      <c r="AL11" s="40" t="n">
        <f aca="false">AP11/AP12*1000+AQ11/AQ12*100+AT11/AT12*10+AR11/AR12</f>
        <v>0</v>
      </c>
      <c r="AM11" s="40" t="n">
        <f aca="false">VLOOKUP(AB11,db_fifarank,2,0)/2000000</f>
        <v>0.000462</v>
      </c>
      <c r="AN11" s="42" t="n">
        <f aca="false">1000*AK11/AK12+100*AJ11+10*AF11/AF12+1*AL11/AL12+AM11</f>
        <v>998.052410051948</v>
      </c>
      <c r="AP11" s="44" t="n">
        <f aca="false">SUMPRODUCT(($S$7:$S$54=AB11&amp;"_win")*($U$7:$U$54))+SUMPRODUCT(($T$7:$T$54=AB11&amp;"_win")*($U$7:$U$54))</f>
        <v>0</v>
      </c>
      <c r="AQ11" s="44" t="n">
        <f aca="false">SUMPRODUCT(($S$7:$S$54=AB11&amp;"_draw")*($U$7:$U$54))+SUMPRODUCT(($T$7:$T$54=AB11&amp;"_draw")*($U$7:$U$54))</f>
        <v>0</v>
      </c>
      <c r="AR11" s="44" t="n">
        <f aca="false">SUMPRODUCT(($E$7:$E$54=AB11)*($U$7:$U$54)*($F$7:$F$54))+SUMPRODUCT(($H$7:$H$54=AB11)*($U$7:$U$54)*($G$7:$G$54))</f>
        <v>0</v>
      </c>
      <c r="AS11" s="44" t="n">
        <f aca="false">SUMPRODUCT(($E$7:$E$54=AB11)*($U$7:$U$54)*($G$7:$G$54))+SUMPRODUCT(($H$7:$H$54=AB11)*($U$7:$U$54)*($F$7:$F$54))</f>
        <v>0</v>
      </c>
      <c r="AT11" s="44" t="n">
        <f aca="false">AR11-AS11</f>
        <v>0</v>
      </c>
      <c r="AY11" s="78"/>
      <c r="AZ11" s="82" t="str">
        <f aca="false">AO15</f>
        <v>Portugal</v>
      </c>
      <c r="BA11" s="83"/>
      <c r="BB11" s="84"/>
      <c r="BC11" s="85"/>
      <c r="BD11" s="70"/>
      <c r="BE11" s="70" t="str">
        <f aca="false">INDEX(T,24+MONTH(R69),lang) &amp; " " &amp; DAY(R69) &amp; ", " &amp; YEAR(R69) &amp; "   " &amp; TEXT(TIME(HOUR(R69),MINUTE(R69),0),"hh:mm")</f>
        <v>Jul 6, 2018   10:00</v>
      </c>
      <c r="BF11" s="70"/>
      <c r="BG11" s="70"/>
      <c r="BH11" s="86"/>
      <c r="BI11" s="70"/>
      <c r="BJ11" s="70"/>
      <c r="BK11" s="70"/>
      <c r="BL11" s="70"/>
      <c r="BM11" s="70"/>
      <c r="BN11" s="70"/>
      <c r="BO11" s="70"/>
      <c r="BP11" s="70"/>
      <c r="BQ11" s="70"/>
      <c r="BR11" s="70"/>
      <c r="BS11" s="70"/>
      <c r="BT11" s="70"/>
    </row>
    <row r="12" customFormat="false" ht="15" hidden="false" customHeight="true" outlineLevel="0" collapsed="false">
      <c r="A12" s="59" t="n">
        <v>6</v>
      </c>
      <c r="B12" s="60" t="str">
        <f aca="false">INDEX(T,18+INT(MOD(R12-1,7)),lang)</f>
        <v>Sat</v>
      </c>
      <c r="C12" s="61" t="str">
        <f aca="false">INDEX(T,24+MONTH(R12),lang) &amp; " " &amp; DAY(R12) &amp; ", " &amp; YEAR(R12)</f>
        <v>Jun 16, 2018</v>
      </c>
      <c r="D12" s="62" t="n">
        <f aca="false">TIME(HOUR(R12),MINUTE(R12),0)</f>
        <v>0.5</v>
      </c>
      <c r="E12" s="63" t="str">
        <f aca="false">AB22</f>
        <v>Perú</v>
      </c>
      <c r="F12" s="64" t="n">
        <v>0</v>
      </c>
      <c r="G12" s="65" t="n">
        <v>1</v>
      </c>
      <c r="H12" s="66" t="str">
        <f aca="false">AB23</f>
        <v>Dinamarca</v>
      </c>
      <c r="J12" s="87" t="str">
        <f aca="false">VLOOKUP(4,AA8:AK11,2,0)</f>
        <v>Egipto</v>
      </c>
      <c r="K12" s="88" t="n">
        <f aca="false">L12+M12+N12</f>
        <v>3</v>
      </c>
      <c r="L12" s="88" t="n">
        <f aca="false">VLOOKUP(4,AA8:AK11,3,0)</f>
        <v>0</v>
      </c>
      <c r="M12" s="88" t="n">
        <f aca="false">VLOOKUP(4,AA8:AK11,4,0)</f>
        <v>0</v>
      </c>
      <c r="N12" s="88" t="n">
        <f aca="false">VLOOKUP(4,AA8:AK11,5,0)</f>
        <v>3</v>
      </c>
      <c r="O12" s="88" t="str">
        <f aca="false">VLOOKUP(4,AA8:AK11,6,0) &amp; " - " &amp; VLOOKUP(4,AA8:AK11,7,0)</f>
        <v>2 - 6</v>
      </c>
      <c r="P12" s="89" t="n">
        <f aca="false">L12*3+M12</f>
        <v>0</v>
      </c>
      <c r="R12" s="40" t="n">
        <f aca="false">DATE(2018,6,16)+TIME(5,0,0)+gmt_delta</f>
        <v>43267.5</v>
      </c>
      <c r="S12" s="41" t="str">
        <f aca="false">IF(OR(F12="",G12=""),"",IF(F12&gt;G12,E12&amp;"_win",IF(F12&lt;G12,E12&amp;"_lose",E12&amp;"_draw")))</f>
        <v>Perú_lose</v>
      </c>
      <c r="T12" s="41" t="str">
        <f aca="false">IF(S12="","",IF(F12&lt;G12,H12&amp;"_win",IF(F12&gt;G12,H12&amp;"_lose",H12&amp;"_draw")))</f>
        <v>Dinamarca_win</v>
      </c>
      <c r="U12" s="42" t="n">
        <f aca="false">IF(S12="",0,IF(VLOOKUP(E12,$AB$8:$AK$53,7,0)=VLOOKUP(H12,$AB$8:$AK$53,7,0),1,0))</f>
        <v>0</v>
      </c>
      <c r="V12" s="40" t="n">
        <f aca="false">U12*F12</f>
        <v>0</v>
      </c>
      <c r="W12" s="40" t="n">
        <f aca="false">U12*G12</f>
        <v>0</v>
      </c>
      <c r="X12" s="40" t="n">
        <f aca="false">IF(OR(E12=my_team,H12=my_team),1,0)</f>
        <v>0</v>
      </c>
      <c r="Y12" s="40" t="n">
        <f aca="false">IF(OR(F12="",G12=""),"",IF(F12&gt;G12,1,IF(F12&lt;G12,-1,0)))</f>
        <v>-1</v>
      </c>
      <c r="AC12" s="40" t="n">
        <f aca="false">MAX(AC8:AC11)-MIN(AC8:AC11)+1</f>
        <v>4</v>
      </c>
      <c r="AD12" s="40" t="n">
        <f aca="false">MAX(AD8:AD11)-MIN(AD8:AD11)+1</f>
        <v>1</v>
      </c>
      <c r="AE12" s="40" t="n">
        <f aca="false">MAX(AE8:AE11)-MIN(AE8:AE11)+1</f>
        <v>4</v>
      </c>
      <c r="AF12" s="40" t="n">
        <f aca="false">MAX(AF8:AF11)-MIN(AF8:AF11)+1</f>
        <v>7</v>
      </c>
      <c r="AG12" s="40" t="n">
        <f aca="false">MAX(AG8:AG11)-MIN(AG8:AG11)+1</f>
        <v>8</v>
      </c>
      <c r="AH12" s="40" t="n">
        <f aca="false">MAX(AH8:AH11)-AH13+1</f>
        <v>11</v>
      </c>
      <c r="AI12" s="40" t="n">
        <f aca="false">MAX(AI8:AI11)-AI13+1</f>
        <v>11</v>
      </c>
      <c r="AK12" s="40" t="n">
        <f aca="false">MAX(AK8:AK11)-MIN(AK8:AK11)+1</f>
        <v>10</v>
      </c>
      <c r="AL12" s="40" t="n">
        <f aca="false">MAX(AL8:AL11)-MIN(AL8:AL11)+1</f>
        <v>1</v>
      </c>
      <c r="AP12" s="40" t="n">
        <f aca="false">MAX(AP8:AP11)-MIN(AP8:AP11)+1</f>
        <v>1</v>
      </c>
      <c r="AQ12" s="40" t="n">
        <f aca="false">MAX(AQ8:AQ11)-MIN(AQ8:AQ11)+1</f>
        <v>1</v>
      </c>
      <c r="AR12" s="40" t="n">
        <f aca="false">MAX(AR8:AR11)-MIN(AR8:AR11)+1</f>
        <v>1</v>
      </c>
      <c r="AS12" s="40" t="n">
        <f aca="false">MAX(AS8:AS11)-MIN(AS8:AS11)+1</f>
        <v>1</v>
      </c>
      <c r="AT12" s="40" t="n">
        <f aca="false">MAX(AT8:AT11)-MIN(AT8:AT11)+1</f>
        <v>1</v>
      </c>
      <c r="AY12" s="70"/>
      <c r="AZ12" s="70"/>
      <c r="BA12" s="70"/>
      <c r="BB12" s="70"/>
      <c r="BC12" s="90"/>
      <c r="BD12" s="70"/>
      <c r="BE12" s="78" t="n">
        <v>57</v>
      </c>
      <c r="BF12" s="79" t="str">
        <f aca="false">T58</f>
        <v>W49</v>
      </c>
      <c r="BG12" s="80"/>
      <c r="BH12" s="81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</row>
    <row r="13" customFormat="false" ht="15" hidden="false" customHeight="true" outlineLevel="0" collapsed="false">
      <c r="A13" s="59" t="n">
        <v>7</v>
      </c>
      <c r="B13" s="60" t="str">
        <f aca="false">INDEX(T,18+INT(MOD(R13-1,7)),lang)</f>
        <v>Sat</v>
      </c>
      <c r="C13" s="61" t="str">
        <f aca="false">INDEX(T,24+MONTH(R13),lang) &amp; " " &amp; DAY(R13) &amp; ", " &amp; YEAR(R13)</f>
        <v>Jun 16, 2018</v>
      </c>
      <c r="D13" s="62" t="n">
        <f aca="false">TIME(HOUR(R13),MINUTE(R13),0)</f>
        <v>0.375</v>
      </c>
      <c r="E13" s="63" t="str">
        <f aca="false">AB26</f>
        <v>Argentina</v>
      </c>
      <c r="F13" s="64" t="n">
        <v>1</v>
      </c>
      <c r="G13" s="65" t="n">
        <v>1</v>
      </c>
      <c r="H13" s="66" t="str">
        <f aca="false">AB27</f>
        <v>Islandia</v>
      </c>
      <c r="J13" s="91"/>
      <c r="K13" s="92"/>
      <c r="L13" s="92"/>
      <c r="M13" s="92"/>
      <c r="N13" s="92"/>
      <c r="O13" s="92"/>
      <c r="P13" s="92"/>
      <c r="R13" s="40" t="n">
        <f aca="false">DATE(2018,6,16)+TIME(2,0,0)+gmt_delta</f>
        <v>43267.375</v>
      </c>
      <c r="S13" s="41" t="str">
        <f aca="false">IF(OR(F13="",G13=""),"",IF(F13&gt;G13,E13&amp;"_win",IF(F13&lt;G13,E13&amp;"_lose",E13&amp;"_draw")))</f>
        <v>Argentina_draw</v>
      </c>
      <c r="T13" s="41" t="str">
        <f aca="false">IF(S13="","",IF(F13&lt;G13,H13&amp;"_win",IF(F13&gt;G13,H13&amp;"_lose",H13&amp;"_draw")))</f>
        <v>Islandia_draw</v>
      </c>
      <c r="U13" s="42" t="n">
        <f aca="false">IF(S13="",0,IF(VLOOKUP(E13,$AB$8:$AK$53,7,0)=VLOOKUP(H13,$AB$8:$AK$53,7,0),1,0))</f>
        <v>0</v>
      </c>
      <c r="V13" s="40" t="n">
        <f aca="false">U13*F13</f>
        <v>0</v>
      </c>
      <c r="W13" s="40" t="n">
        <f aca="false">U13*G13</f>
        <v>0</v>
      </c>
      <c r="X13" s="40" t="n">
        <f aca="false">IF(OR(E13=my_team,H13=my_team),1,0)</f>
        <v>0</v>
      </c>
      <c r="Y13" s="40" t="n">
        <f aca="false">IF(OR(F13="",G13=""),"",IF(F13&gt;G13,1,IF(F13&lt;G13,-1,0)))</f>
        <v>0</v>
      </c>
      <c r="AH13" s="40" t="n">
        <f aca="false">MIN(AH8:AH11)</f>
        <v>-4</v>
      </c>
      <c r="AI13" s="40" t="n">
        <f aca="false">MIN(AI8:AI11)</f>
        <v>-5</v>
      </c>
      <c r="AY13" s="70" t="str">
        <f aca="false">INDEX(T,24+MONTH(R59),lang) &amp; " " &amp; DAY(R59) &amp; ", " &amp; YEAR(R59) &amp; "   " &amp; TEXT(TIME(HOUR(R59),MINUTE(R59),0),"hh:mm")</f>
        <v>Jun 30, 2018   10:00</v>
      </c>
      <c r="AZ13" s="70"/>
      <c r="BA13" s="70"/>
      <c r="BB13" s="86"/>
      <c r="BC13" s="90"/>
      <c r="BD13" s="93"/>
      <c r="BE13" s="78"/>
      <c r="BF13" s="82" t="str">
        <f aca="false">T59</f>
        <v>W50</v>
      </c>
      <c r="BG13" s="83"/>
      <c r="BH13" s="84"/>
      <c r="BI13" s="85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</row>
    <row r="14" customFormat="false" ht="15" hidden="false" customHeight="true" outlineLevel="0" collapsed="false">
      <c r="A14" s="59" t="n">
        <v>8</v>
      </c>
      <c r="B14" s="60" t="str">
        <f aca="false">INDEX(T,18+INT(MOD(R14-1,7)),lang)</f>
        <v>Sat</v>
      </c>
      <c r="C14" s="61" t="str">
        <f aca="false">INDEX(T,24+MONTH(R14),lang) &amp; " " &amp; DAY(R14) &amp; ", " &amp; YEAR(R14)</f>
        <v>Jun 16, 2018</v>
      </c>
      <c r="D14" s="62" t="n">
        <f aca="false">TIME(HOUR(R14),MINUTE(R14),0)</f>
        <v>0.625</v>
      </c>
      <c r="E14" s="63" t="str">
        <f aca="false">AB28</f>
        <v>Croacia</v>
      </c>
      <c r="F14" s="64" t="n">
        <v>2</v>
      </c>
      <c r="G14" s="65" t="n">
        <v>0</v>
      </c>
      <c r="H14" s="66" t="str">
        <f aca="false">AB29</f>
        <v>Nigeria</v>
      </c>
      <c r="J14" s="67" t="str">
        <f aca="false">INDEX(T,9,lang) &amp; " " &amp; "B"</f>
        <v>Grupo B</v>
      </c>
      <c r="K14" s="68" t="str">
        <f aca="false">INDEX(T,10,lang)</f>
        <v>J</v>
      </c>
      <c r="L14" s="68" t="str">
        <f aca="false">INDEX(T,11,lang)</f>
        <v>G</v>
      </c>
      <c r="M14" s="68" t="str">
        <f aca="false">INDEX(T,12,lang)</f>
        <v>DRAW</v>
      </c>
      <c r="N14" s="68" t="str">
        <f aca="false">INDEX(T,13,lang)</f>
        <v>P</v>
      </c>
      <c r="O14" s="68" t="str">
        <f aca="false">INDEX(T,14,lang)</f>
        <v>GF - GC</v>
      </c>
      <c r="P14" s="69" t="str">
        <f aca="false">INDEX(T,15,lang)</f>
        <v>PTS</v>
      </c>
      <c r="R14" s="40" t="n">
        <f aca="false">DATE(2018,6,16)+TIME(8,0,0)+gmt_delta</f>
        <v>43267.625</v>
      </c>
      <c r="S14" s="41" t="str">
        <f aca="false">IF(OR(F14="",G14=""),"",IF(F14&gt;G14,E14&amp;"_win",IF(F14&lt;G14,E14&amp;"_lose",E14&amp;"_draw")))</f>
        <v>Croacia_win</v>
      </c>
      <c r="T14" s="41" t="str">
        <f aca="false">IF(S14="","",IF(F14&lt;G14,H14&amp;"_win",IF(F14&gt;G14,H14&amp;"_lose",H14&amp;"_draw")))</f>
        <v>Nigeria_lose</v>
      </c>
      <c r="U14" s="42" t="n">
        <f aca="false">IF(S14="",0,IF(VLOOKUP(E14,$AB$8:$AK$53,7,0)=VLOOKUP(H14,$AB$8:$AK$53,7,0),1,0))</f>
        <v>0</v>
      </c>
      <c r="V14" s="40" t="n">
        <f aca="false">U14*F14</f>
        <v>0</v>
      </c>
      <c r="W14" s="40" t="n">
        <f aca="false">U14*G14</f>
        <v>0</v>
      </c>
      <c r="X14" s="40" t="n">
        <f aca="false">IF(OR(E14=my_team,H14=my_team),1,0)</f>
        <v>0</v>
      </c>
      <c r="Y14" s="40" t="n">
        <f aca="false">IF(OR(F14="",G14=""),"",IF(F14&gt;G14,1,IF(F14&lt;G14,-1,0)))</f>
        <v>1</v>
      </c>
      <c r="AA14" s="40" t="n">
        <f aca="false">COUNTIF(AN14:AN17,CONCATENATE("&gt;=",AN14))</f>
        <v>2</v>
      </c>
      <c r="AB14" s="42" t="str">
        <f aca="false">VLOOKUP("Portugal",T,lang,0)</f>
        <v>Portugal</v>
      </c>
      <c r="AC14" s="40" t="n">
        <f aca="false">COUNTIF($S$7:$T$54,"=" &amp; AB14 &amp; "_win")</f>
        <v>1</v>
      </c>
      <c r="AD14" s="40" t="n">
        <f aca="false">COUNTIF($S$7:$T$54,"=" &amp; AB14 &amp; "_draw")</f>
        <v>2</v>
      </c>
      <c r="AE14" s="40" t="n">
        <f aca="false">COUNTIF($S$7:$T$54,"=" &amp; AB14 &amp; "_lose")</f>
        <v>0</v>
      </c>
      <c r="AF14" s="40" t="n">
        <f aca="false">SUMIF($E$7:$E$54,$AB14,$F$7:$F$54) + SUMIF($H$7:$H$54,$AB14,$G$7:$G$54)</f>
        <v>5</v>
      </c>
      <c r="AG14" s="40" t="n">
        <f aca="false">SUMIF($E$7:$E$54,$AB14,$G$7:$G$54) + SUMIF($H$7:$H$54,$AB14,$F$7:$F$54)</f>
        <v>4</v>
      </c>
      <c r="AH14" s="40" t="n">
        <f aca="false">(AF14-AG14)*100+AK14*10000+AF14</f>
        <v>50105</v>
      </c>
      <c r="AI14" s="40" t="n">
        <f aca="false">AF14-AG14</f>
        <v>1</v>
      </c>
      <c r="AJ14" s="40" t="n">
        <f aca="false">(AI14-AI19)/AI18</f>
        <v>0.75</v>
      </c>
      <c r="AK14" s="40" t="n">
        <f aca="false">AC14*3+AD14</f>
        <v>5</v>
      </c>
      <c r="AL14" s="40" t="n">
        <f aca="false">AP14/AP18*1000+AQ14/AQ18*100+AT14/AT18*10+AR14/AR18</f>
        <v>0</v>
      </c>
      <c r="AM14" s="40" t="n">
        <f aca="false">VLOOKUP(AB14,db_fifarank,2,0)/2000000</f>
        <v>0.000679</v>
      </c>
      <c r="AN14" s="42" t="n">
        <f aca="false">1000*AK14/AK18+100*AJ14+10*AF14/AF18+1*AL14/AL18+AM14</f>
        <v>1085.000679</v>
      </c>
      <c r="AO14" s="43" t="str">
        <f aca="false">IF(SUM(AC14:AE17)=12,J15,INDEX(T,72,lang))</f>
        <v>España</v>
      </c>
      <c r="AP14" s="44" t="n">
        <f aca="false">SUMPRODUCT(($S$7:$S$54=AB14&amp;"_win")*($U$7:$U$54))+SUMPRODUCT(($T$7:$T$54=AB14&amp;"_win")*($U$7:$U$54))</f>
        <v>0</v>
      </c>
      <c r="AQ14" s="44" t="n">
        <f aca="false">SUMPRODUCT(($S$7:$S$54=AB14&amp;"_draw")*($U$7:$U$54))+SUMPRODUCT(($T$7:$T$54=AB14&amp;"_draw")*($U$7:$U$54))</f>
        <v>0</v>
      </c>
      <c r="AR14" s="44" t="n">
        <f aca="false">SUMPRODUCT(($E$7:$E$54=AB14)*($U$7:$U$54)*($F$7:$F$54))+SUMPRODUCT(($H$7:$H$54=AB14)*($U$7:$U$54)*($G$7:$G$54))</f>
        <v>0</v>
      </c>
      <c r="AS14" s="44" t="n">
        <f aca="false">SUMPRODUCT(($E$7:$E$54=AB14)*($U$7:$U$54)*($G$7:$G$54))+SUMPRODUCT(($H$7:$H$54=AB14)*($U$7:$U$54)*($F$7:$F$54))</f>
        <v>0</v>
      </c>
      <c r="AT14" s="44" t="n">
        <f aca="false">AR14-AS14</f>
        <v>0</v>
      </c>
      <c r="AY14" s="78" t="n">
        <v>50</v>
      </c>
      <c r="AZ14" s="79" t="str">
        <f aca="false">AO20</f>
        <v>Francia</v>
      </c>
      <c r="BA14" s="80"/>
      <c r="BB14" s="81"/>
      <c r="BC14" s="94"/>
      <c r="BD14" s="70"/>
      <c r="BE14" s="70"/>
      <c r="BF14" s="70"/>
      <c r="BG14" s="70"/>
      <c r="BH14" s="70"/>
      <c r="BI14" s="90"/>
      <c r="BJ14" s="70"/>
      <c r="BK14" s="70"/>
      <c r="BL14" s="70"/>
      <c r="BM14" s="70"/>
      <c r="BN14" s="86"/>
      <c r="BO14" s="70"/>
      <c r="BP14" s="70"/>
      <c r="BQ14" s="70"/>
      <c r="BR14" s="70"/>
      <c r="BS14" s="70"/>
      <c r="BT14" s="70"/>
    </row>
    <row r="15" customFormat="false" ht="15" hidden="false" customHeight="true" outlineLevel="0" collapsed="false">
      <c r="A15" s="59" t="n">
        <v>9</v>
      </c>
      <c r="B15" s="60" t="str">
        <f aca="false">INDEX(T,18+INT(MOD(R15-1,7)),lang)</f>
        <v>Sun</v>
      </c>
      <c r="C15" s="61" t="str">
        <f aca="false">INDEX(T,24+MONTH(R15),lang) &amp; " " &amp; DAY(R15) &amp; ", " &amp; YEAR(R15)</f>
        <v>Jun 17, 2018</v>
      </c>
      <c r="D15" s="62" t="n">
        <f aca="false">TIME(HOUR(R15),MINUTE(R15),0)</f>
        <v>0.583333333333333</v>
      </c>
      <c r="E15" s="63" t="str">
        <f aca="false">AB32</f>
        <v>Brasil</v>
      </c>
      <c r="F15" s="64" t="n">
        <v>1</v>
      </c>
      <c r="G15" s="65" t="n">
        <v>1</v>
      </c>
      <c r="H15" s="66" t="str">
        <f aca="false">AB33</f>
        <v>Suiza</v>
      </c>
      <c r="J15" s="71" t="str">
        <f aca="false">VLOOKUP(1,AA14:AK17,2,0)</f>
        <v>España</v>
      </c>
      <c r="K15" s="72" t="n">
        <f aca="false">L15+M15+N15</f>
        <v>3</v>
      </c>
      <c r="L15" s="72" t="n">
        <f aca="false">VLOOKUP(1,AA14:AK17,3,0)</f>
        <v>1</v>
      </c>
      <c r="M15" s="72" t="n">
        <f aca="false">VLOOKUP(1,AA14:AK17,4,0)</f>
        <v>2</v>
      </c>
      <c r="N15" s="72" t="n">
        <f aca="false">VLOOKUP(1,AA14:AK17,5,0)</f>
        <v>0</v>
      </c>
      <c r="O15" s="72" t="str">
        <f aca="false">VLOOKUP(1,AA14:AK17,6,0) &amp; " - " &amp; VLOOKUP(1,AA14:AK17,7,0)</f>
        <v>6 - 5</v>
      </c>
      <c r="P15" s="73" t="n">
        <f aca="false">L15*3+M15</f>
        <v>5</v>
      </c>
      <c r="R15" s="40" t="n">
        <f aca="false">DATE(2018,6,17)+TIME(7,0,0)+gmt_delta</f>
        <v>43268.5833333333</v>
      </c>
      <c r="S15" s="41" t="str">
        <f aca="false">IF(OR(F15="",G15=""),"",IF(F15&gt;G15,E15&amp;"_win",IF(F15&lt;G15,E15&amp;"_lose",E15&amp;"_draw")))</f>
        <v>Brasil_draw</v>
      </c>
      <c r="T15" s="41" t="str">
        <f aca="false">IF(S15="","",IF(F15&lt;G15,H15&amp;"_win",IF(F15&gt;G15,H15&amp;"_lose",H15&amp;"_draw")))</f>
        <v>Suiza_draw</v>
      </c>
      <c r="U15" s="42" t="n">
        <f aca="false">IF(S15="",0,IF(VLOOKUP(E15,$AB$8:$AK$53,7,0)=VLOOKUP(H15,$AB$8:$AK$53,7,0),1,0))</f>
        <v>0</v>
      </c>
      <c r="V15" s="40" t="n">
        <f aca="false">U15*F15</f>
        <v>0</v>
      </c>
      <c r="W15" s="40" t="n">
        <f aca="false">U15*G15</f>
        <v>0</v>
      </c>
      <c r="X15" s="40" t="n">
        <f aca="false">IF(OR(E15=my_team,H15=my_team),1,0)</f>
        <v>0</v>
      </c>
      <c r="Y15" s="40" t="n">
        <f aca="false">IF(OR(F15="",G15=""),"",IF(F15&gt;G15,1,IF(F15&lt;G15,-1,0)))</f>
        <v>0</v>
      </c>
      <c r="AA15" s="40" t="n">
        <f aca="false">COUNTIF(AN14:AN17,CONCATENATE("&gt;=",AN15))</f>
        <v>1</v>
      </c>
      <c r="AB15" s="42" t="str">
        <f aca="false">VLOOKUP("Spain",T,lang,0)</f>
        <v>España</v>
      </c>
      <c r="AC15" s="40" t="n">
        <f aca="false">COUNTIF($S$7:$T$54,"=" &amp; AB15 &amp; "_win")</f>
        <v>1</v>
      </c>
      <c r="AD15" s="40" t="n">
        <f aca="false">COUNTIF($S$7:$T$54,"=" &amp; AB15 &amp; "_draw")</f>
        <v>2</v>
      </c>
      <c r="AE15" s="40" t="n">
        <f aca="false">COUNTIF($S$7:$T$54,"=" &amp; AB15 &amp; "_lose")</f>
        <v>0</v>
      </c>
      <c r="AF15" s="40" t="n">
        <f aca="false">SUMIF($E$7:$E$54,$AB15,$F$7:$F$54) + SUMIF($H$7:$H$54,$AB15,$G$7:$G$54)</f>
        <v>6</v>
      </c>
      <c r="AG15" s="40" t="n">
        <f aca="false">SUMIF($E$7:$E$54,$AB15,$G$7:$G$54) + SUMIF($H$7:$H$54,$AB15,$F$7:$F$54)</f>
        <v>5</v>
      </c>
      <c r="AH15" s="40" t="n">
        <f aca="false">(AF15-AG15)*100+AK15*10000+AF15</f>
        <v>50106</v>
      </c>
      <c r="AI15" s="40" t="n">
        <f aca="false">AF15-AG15</f>
        <v>1</v>
      </c>
      <c r="AJ15" s="40" t="n">
        <f aca="false">(AI15-AI19)/AI18</f>
        <v>0.75</v>
      </c>
      <c r="AK15" s="40" t="n">
        <f aca="false">AC15*3+AD15</f>
        <v>5</v>
      </c>
      <c r="AL15" s="40" t="n">
        <f aca="false">AP15/AP18*1000+AQ15/AQ18*100+AT15/AT18*10+AR15/AR18</f>
        <v>0</v>
      </c>
      <c r="AM15" s="40" t="n">
        <f aca="false">VLOOKUP(AB15,db_fifarank,2,0)/2000000</f>
        <v>0.0006155</v>
      </c>
      <c r="AN15" s="42" t="n">
        <f aca="false">1000*AK15/AK18+100*AJ15+10*AF15/AF18+1*AL15/AL18+AM15</f>
        <v>1087.0006155</v>
      </c>
      <c r="AO15" s="43" t="str">
        <f aca="false">IF(SUM(AC14:AE17)=12,J16,INDEX(T,73,lang))</f>
        <v>Portugal</v>
      </c>
      <c r="AP15" s="44" t="n">
        <f aca="false">SUMPRODUCT(($S$7:$S$54=AB15&amp;"_win")*($U$7:$U$54))+SUMPRODUCT(($T$7:$T$54=AB15&amp;"_win")*($U$7:$U$54))</f>
        <v>0</v>
      </c>
      <c r="AQ15" s="44" t="n">
        <f aca="false">SUMPRODUCT(($S$7:$S$54=AB15&amp;"_draw")*($U$7:$U$54))+SUMPRODUCT(($T$7:$T$54=AB15&amp;"_draw")*($U$7:$U$54))</f>
        <v>0</v>
      </c>
      <c r="AR15" s="44" t="n">
        <f aca="false">SUMPRODUCT(($E$7:$E$54=AB15)*($U$7:$U$54)*($F$7:$F$54))+SUMPRODUCT(($H$7:$H$54=AB15)*($U$7:$U$54)*($G$7:$G$54))</f>
        <v>0</v>
      </c>
      <c r="AS15" s="44" t="n">
        <f aca="false">SUMPRODUCT(($E$7:$E$54=AB15)*($U$7:$U$54)*($G$7:$G$54))+SUMPRODUCT(($H$7:$H$54=AB15)*($U$7:$U$54)*($F$7:$F$54))</f>
        <v>0</v>
      </c>
      <c r="AT15" s="44" t="n">
        <f aca="false">AR15-AS15</f>
        <v>0</v>
      </c>
      <c r="AY15" s="78"/>
      <c r="AZ15" s="82" t="str">
        <f aca="false">AO27</f>
        <v>Argentina</v>
      </c>
      <c r="BA15" s="83"/>
      <c r="BB15" s="84"/>
      <c r="BC15" s="70"/>
      <c r="BD15" s="70"/>
      <c r="BE15" s="70"/>
      <c r="BF15" s="70"/>
      <c r="BG15" s="70"/>
      <c r="BH15" s="70"/>
      <c r="BI15" s="90"/>
      <c r="BJ15" s="70"/>
      <c r="BK15" s="70" t="str">
        <f aca="false">INDEX(T,24+MONTH(R76),lang) &amp; " " &amp; DAY(R76) &amp; ", " &amp; YEAR(R76) &amp; "   " &amp; TEXT(TIME(HOUR(R76),MINUTE(R76),0),"hh:mm")</f>
        <v>Jul 10, 2018   14:00</v>
      </c>
      <c r="BL15" s="70"/>
      <c r="BM15" s="70"/>
      <c r="BN15" s="86"/>
      <c r="BO15" s="70"/>
      <c r="BP15" s="70"/>
      <c r="BQ15" s="70"/>
      <c r="BR15" s="70"/>
      <c r="BS15" s="70"/>
      <c r="BT15" s="70"/>
    </row>
    <row r="16" customFormat="false" ht="15" hidden="false" customHeight="true" outlineLevel="0" collapsed="false">
      <c r="A16" s="59" t="n">
        <v>10</v>
      </c>
      <c r="B16" s="60" t="str">
        <f aca="false">INDEX(T,18+INT(MOD(R16-1,7)),lang)</f>
        <v>Sun</v>
      </c>
      <c r="C16" s="61" t="str">
        <f aca="false">INDEX(T,24+MONTH(R16),lang) &amp; " " &amp; DAY(R16) &amp; ", " &amp; YEAR(R16)</f>
        <v>Jun 17, 2018</v>
      </c>
      <c r="D16" s="62" t="n">
        <f aca="false">TIME(HOUR(R16),MINUTE(R16),0)</f>
        <v>0.333333333333333</v>
      </c>
      <c r="E16" s="63" t="str">
        <f aca="false">AB34</f>
        <v>Costa Rica</v>
      </c>
      <c r="F16" s="64" t="n">
        <v>0</v>
      </c>
      <c r="G16" s="65" t="n">
        <v>1</v>
      </c>
      <c r="H16" s="66" t="str">
        <f aca="false">AB35</f>
        <v>Serbia</v>
      </c>
      <c r="J16" s="75" t="str">
        <f aca="false">VLOOKUP(2,AA14:AK17,2,0)</f>
        <v>Portugal</v>
      </c>
      <c r="K16" s="76" t="n">
        <f aca="false">L16+M16+N16</f>
        <v>3</v>
      </c>
      <c r="L16" s="76" t="n">
        <f aca="false">VLOOKUP(2,AA14:AK17,3,0)</f>
        <v>1</v>
      </c>
      <c r="M16" s="76" t="n">
        <f aca="false">VLOOKUP(2,AA14:AK17,4,0)</f>
        <v>2</v>
      </c>
      <c r="N16" s="76" t="n">
        <f aca="false">VLOOKUP(2,AA14:AK17,5,0)</f>
        <v>0</v>
      </c>
      <c r="O16" s="76" t="str">
        <f aca="false">VLOOKUP(2,AA14:AK17,6,0) &amp; " - " &amp; VLOOKUP(2,AA14:AK17,7,0)</f>
        <v>5 - 4</v>
      </c>
      <c r="P16" s="77" t="n">
        <f aca="false">L16*3+M16</f>
        <v>5</v>
      </c>
      <c r="R16" s="40" t="n">
        <f aca="false">DATE(2018,6,17)+TIME(1,0,0)+gmt_delta</f>
        <v>43268.3333333333</v>
      </c>
      <c r="S16" s="41" t="str">
        <f aca="false">IF(OR(F16="",G16=""),"",IF(F16&gt;G16,E16&amp;"_win",IF(F16&lt;G16,E16&amp;"_lose",E16&amp;"_draw")))</f>
        <v>Costa Rica_lose</v>
      </c>
      <c r="T16" s="41" t="str">
        <f aca="false">IF(S16="","",IF(F16&lt;G16,H16&amp;"_win",IF(F16&gt;G16,H16&amp;"_lose",H16&amp;"_draw")))</f>
        <v>Serbia_win</v>
      </c>
      <c r="U16" s="42" t="n">
        <f aca="false">IF(S16="",0,IF(VLOOKUP(E16,$AB$8:$AK$53,7,0)=VLOOKUP(H16,$AB$8:$AK$53,7,0),1,0))</f>
        <v>0</v>
      </c>
      <c r="V16" s="40" t="n">
        <f aca="false">U16*F16</f>
        <v>0</v>
      </c>
      <c r="W16" s="40" t="n">
        <f aca="false">U16*G16</f>
        <v>0</v>
      </c>
      <c r="X16" s="40" t="n">
        <f aca="false">IF(OR(E16=my_team,H16=my_team),1,0)</f>
        <v>0</v>
      </c>
      <c r="Y16" s="40" t="n">
        <f aca="false">IF(OR(F16="",G16=""),"",IF(F16&gt;G16,1,IF(F16&lt;G16,-1,0)))</f>
        <v>-1</v>
      </c>
      <c r="AA16" s="40" t="n">
        <f aca="false">COUNTIF(AN14:AN17,CONCATENATE("&gt;=",AN16))</f>
        <v>4</v>
      </c>
      <c r="AB16" s="42" t="str">
        <f aca="false">VLOOKUP("Morocco",T,lang,0)</f>
        <v>Marruecos</v>
      </c>
      <c r="AC16" s="40" t="n">
        <f aca="false">COUNTIF($S$7:$T$54,"=" &amp; AB16 &amp; "_win")</f>
        <v>0</v>
      </c>
      <c r="AD16" s="40" t="n">
        <f aca="false">COUNTIF($S$7:$T$54,"=" &amp; AB16 &amp; "_draw")</f>
        <v>1</v>
      </c>
      <c r="AE16" s="40" t="n">
        <f aca="false">COUNTIF($S$7:$T$54,"=" &amp; AB16 &amp; "_lose")</f>
        <v>2</v>
      </c>
      <c r="AF16" s="40" t="n">
        <f aca="false">SUMIF($E$7:$E$54,$AB16,$F$7:$F$54) + SUMIF($H$7:$H$54,$AB16,$G$7:$G$54)</f>
        <v>2</v>
      </c>
      <c r="AG16" s="40" t="n">
        <f aca="false">SUMIF($E$7:$E$54,$AB16,$G$7:$G$54) + SUMIF($H$7:$H$54,$AB16,$F$7:$F$54)</f>
        <v>4</v>
      </c>
      <c r="AH16" s="40" t="n">
        <f aca="false">(AF16-AG16)*100+AK16*10000+AF16</f>
        <v>9802</v>
      </c>
      <c r="AI16" s="40" t="n">
        <f aca="false">AF16-AG16</f>
        <v>-2</v>
      </c>
      <c r="AJ16" s="40" t="n">
        <f aca="false">(AI16-AI19)/AI18</f>
        <v>0</v>
      </c>
      <c r="AK16" s="40" t="n">
        <f aca="false">AC16*3+AD16</f>
        <v>1</v>
      </c>
      <c r="AL16" s="40" t="n">
        <f aca="false">AP16/AP18*1000+AQ16/AQ18*100+AT16/AT18*10+AR16/AR18</f>
        <v>0</v>
      </c>
      <c r="AM16" s="40" t="n">
        <f aca="false">VLOOKUP(AB16,db_fifarank,2,0)/2000000</f>
        <v>0.000369</v>
      </c>
      <c r="AN16" s="42" t="n">
        <f aca="false">1000*AK16/AK18+100*AJ16+10*AF16/AF18+1*AL16/AL18+AM16</f>
        <v>204.000369</v>
      </c>
      <c r="AP16" s="44" t="n">
        <f aca="false">SUMPRODUCT(($S$7:$S$54=AB16&amp;"_win")*($U$7:$U$54))+SUMPRODUCT(($T$7:$T$54=AB16&amp;"_win")*($U$7:$U$54))</f>
        <v>0</v>
      </c>
      <c r="AQ16" s="44" t="n">
        <f aca="false">SUMPRODUCT(($S$7:$S$54=AB16&amp;"_draw")*($U$7:$U$54))+SUMPRODUCT(($T$7:$T$54=AB16&amp;"_draw")*($U$7:$U$54))</f>
        <v>0</v>
      </c>
      <c r="AR16" s="44" t="n">
        <f aca="false">SUMPRODUCT(($E$7:$E$54=AB16)*($U$7:$U$54)*($F$7:$F$54))+SUMPRODUCT(($H$7:$H$54=AB16)*($U$7:$U$54)*($G$7:$G$54))</f>
        <v>0</v>
      </c>
      <c r="AS16" s="44" t="n">
        <f aca="false">SUMPRODUCT(($E$7:$E$54=AB16)*($U$7:$U$54)*($G$7:$G$54))+SUMPRODUCT(($H$7:$H$54=AB16)*($U$7:$U$54)*($F$7:$F$54))</f>
        <v>0</v>
      </c>
      <c r="AT16" s="44" t="n">
        <f aca="false">AR16-AS16</f>
        <v>0</v>
      </c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90"/>
      <c r="BJ16" s="70"/>
      <c r="BK16" s="78" t="n">
        <v>61</v>
      </c>
      <c r="BL16" s="79" t="str">
        <f aca="false">T69</f>
        <v>W57</v>
      </c>
      <c r="BM16" s="80"/>
      <c r="BN16" s="81"/>
      <c r="BO16" s="70"/>
      <c r="BP16" s="95"/>
      <c r="BQ16" s="70"/>
      <c r="BR16" s="70"/>
      <c r="BS16" s="70"/>
      <c r="BT16" s="70"/>
    </row>
    <row r="17" customFormat="false" ht="15" hidden="false" customHeight="true" outlineLevel="0" collapsed="false">
      <c r="A17" s="59" t="n">
        <v>11</v>
      </c>
      <c r="B17" s="60" t="str">
        <f aca="false">INDEX(T,18+INT(MOD(R17-1,7)),lang)</f>
        <v>Sun</v>
      </c>
      <c r="C17" s="61" t="str">
        <f aca="false">INDEX(T,24+MONTH(R17),lang) &amp; " " &amp; DAY(R17) &amp; ", " &amp; YEAR(R17)</f>
        <v>Jun 17, 2018</v>
      </c>
      <c r="D17" s="62" t="n">
        <f aca="false">TIME(HOUR(R17),MINUTE(R17),0)</f>
        <v>0.458333333333333</v>
      </c>
      <c r="E17" s="63" t="str">
        <f aca="false">AB38</f>
        <v>Alemania</v>
      </c>
      <c r="F17" s="64" t="n">
        <v>0</v>
      </c>
      <c r="G17" s="65" t="n">
        <v>1</v>
      </c>
      <c r="H17" s="66" t="str">
        <f aca="false">AB39</f>
        <v>México</v>
      </c>
      <c r="J17" s="75" t="str">
        <f aca="false">VLOOKUP(3,AA14:AK17,2,0)</f>
        <v>Irán</v>
      </c>
      <c r="K17" s="76" t="n">
        <f aca="false">L17+M17+N17</f>
        <v>3</v>
      </c>
      <c r="L17" s="76" t="n">
        <f aca="false">VLOOKUP(3,AA14:AK17,3,0)</f>
        <v>1</v>
      </c>
      <c r="M17" s="76" t="n">
        <f aca="false">VLOOKUP(3,AA14:AK17,4,0)</f>
        <v>1</v>
      </c>
      <c r="N17" s="76" t="n">
        <f aca="false">VLOOKUP(3,AA14:AK17,5,0)</f>
        <v>1</v>
      </c>
      <c r="O17" s="76" t="str">
        <f aca="false">VLOOKUP(3,AA14:AK17,6,0) &amp; " - " &amp; VLOOKUP(3,AA14:AK17,7,0)</f>
        <v>2 - 2</v>
      </c>
      <c r="P17" s="77" t="n">
        <f aca="false">L17*3+M17</f>
        <v>4</v>
      </c>
      <c r="R17" s="40" t="n">
        <f aca="false">DATE(2018,6,17)+TIME(4,0,0)+gmt_delta</f>
        <v>43268.4583333333</v>
      </c>
      <c r="S17" s="41" t="str">
        <f aca="false">IF(OR(F17="",G17=""),"",IF(F17&gt;G17,E17&amp;"_win",IF(F17&lt;G17,E17&amp;"_lose",E17&amp;"_draw")))</f>
        <v>Alemania_lose</v>
      </c>
      <c r="T17" s="41" t="str">
        <f aca="false">IF(S17="","",IF(F17&lt;G17,H17&amp;"_win",IF(F17&gt;G17,H17&amp;"_lose",H17&amp;"_draw")))</f>
        <v>México_win</v>
      </c>
      <c r="U17" s="42" t="n">
        <f aca="false">IF(S17="",0,IF(VLOOKUP(E17,$AB$8:$AK$53,7,0)=VLOOKUP(H17,$AB$8:$AK$53,7,0),1,0))</f>
        <v>0</v>
      </c>
      <c r="V17" s="40" t="n">
        <f aca="false">U17*F17</f>
        <v>0</v>
      </c>
      <c r="W17" s="40" t="n">
        <f aca="false">U17*G17</f>
        <v>0</v>
      </c>
      <c r="X17" s="40" t="n">
        <f aca="false">IF(OR(E17=my_team,H17=my_team),1,0)</f>
        <v>1</v>
      </c>
      <c r="Y17" s="40" t="n">
        <f aca="false">IF(OR(F17="",G17=""),"",IF(F17&gt;G17,1,IF(F17&lt;G17,-1,0)))</f>
        <v>-1</v>
      </c>
      <c r="AA17" s="40" t="n">
        <f aca="false">COUNTIF(AN14:AN17,CONCATENATE("&gt;=",AN17))</f>
        <v>3</v>
      </c>
      <c r="AB17" s="42" t="str">
        <f aca="false">VLOOKUP("Iran",T,lang,0)</f>
        <v>Irán</v>
      </c>
      <c r="AC17" s="40" t="n">
        <f aca="false">COUNTIF($S$7:$T$54,"=" &amp; AB17 &amp; "_win")</f>
        <v>1</v>
      </c>
      <c r="AD17" s="40" t="n">
        <f aca="false">COUNTIF($S$7:$T$54,"=" &amp; AB17 &amp; "_draw")</f>
        <v>1</v>
      </c>
      <c r="AE17" s="40" t="n">
        <f aca="false">COUNTIF($S$7:$T$54,"=" &amp; AB17 &amp; "_lose")</f>
        <v>1</v>
      </c>
      <c r="AF17" s="40" t="n">
        <f aca="false">SUMIF($E$7:$E$54,$AB17,$F$7:$F$54) + SUMIF($H$7:$H$54,$AB17,$G$7:$G$54)</f>
        <v>2</v>
      </c>
      <c r="AG17" s="40" t="n">
        <f aca="false">SUMIF($E$7:$E$54,$AB17,$G$7:$G$54) + SUMIF($H$7:$H$54,$AB17,$F$7:$F$54)</f>
        <v>2</v>
      </c>
      <c r="AH17" s="40" t="n">
        <f aca="false">(AF17-AG17)*100+AK17*10000+AF17</f>
        <v>40002</v>
      </c>
      <c r="AI17" s="40" t="n">
        <f aca="false">AF17-AG17</f>
        <v>0</v>
      </c>
      <c r="AJ17" s="40" t="n">
        <f aca="false">(AI17-AI19)/AI18</f>
        <v>0.5</v>
      </c>
      <c r="AK17" s="40" t="n">
        <f aca="false">AC17*3+AD17</f>
        <v>4</v>
      </c>
      <c r="AL17" s="40" t="n">
        <f aca="false">AP17/AP18*1000+AQ17/AQ18*100+AT17/AT18*10+AR17/AR18</f>
        <v>0</v>
      </c>
      <c r="AM17" s="40" t="n">
        <f aca="false">VLOOKUP(AB17,db_fifarank,2,0)/2000000</f>
        <v>0.000399</v>
      </c>
      <c r="AN17" s="42" t="n">
        <f aca="false">1000*AK17/AK18+100*AJ17+10*AF17/AF18+1*AL17/AL18+AM17</f>
        <v>854.000399</v>
      </c>
      <c r="AP17" s="44" t="n">
        <f aca="false">SUMPRODUCT(($S$7:$S$54=AB17&amp;"_win")*($U$7:$U$54))+SUMPRODUCT(($T$7:$T$54=AB17&amp;"_win")*($U$7:$U$54))</f>
        <v>0</v>
      </c>
      <c r="AQ17" s="44" t="n">
        <f aca="false">SUMPRODUCT(($S$7:$S$54=AB17&amp;"_draw")*($U$7:$U$54))+SUMPRODUCT(($T$7:$T$54=AB17&amp;"_draw")*($U$7:$U$54))</f>
        <v>0</v>
      </c>
      <c r="AR17" s="44" t="n">
        <f aca="false">SUMPRODUCT(($E$7:$E$54=AB17)*($U$7:$U$54)*($F$7:$F$54))+SUMPRODUCT(($H$7:$H$54=AB17)*($U$7:$U$54)*($G$7:$G$54))</f>
        <v>0</v>
      </c>
      <c r="AS17" s="44" t="n">
        <f aca="false">SUMPRODUCT(($E$7:$E$54=AB17)*($U$7:$U$54)*($G$7:$G$54))+SUMPRODUCT(($H$7:$H$54=AB17)*($U$7:$U$54)*($F$7:$F$54))</f>
        <v>0</v>
      </c>
      <c r="AT17" s="44" t="n">
        <f aca="false">AR17-AS17</f>
        <v>0</v>
      </c>
      <c r="AY17" s="70" t="str">
        <f aca="false">INDEX(T,24+MONTH(R62),lang) &amp; " " &amp; DAY(R62) &amp; ", " &amp; YEAR(R62) &amp; "   " &amp; TEXT(TIME(HOUR(R62),MINUTE(R62),0),"hh:mm")</f>
        <v>Jul 2, 2018   10:00</v>
      </c>
      <c r="AZ17" s="70"/>
      <c r="BA17" s="70"/>
      <c r="BB17" s="86"/>
      <c r="BC17" s="70"/>
      <c r="BD17" s="70"/>
      <c r="BE17" s="70"/>
      <c r="BF17" s="70"/>
      <c r="BG17" s="70"/>
      <c r="BH17" s="70"/>
      <c r="BI17" s="90"/>
      <c r="BJ17" s="93"/>
      <c r="BK17" s="78"/>
      <c r="BL17" s="82" t="str">
        <f aca="false">T70</f>
        <v>W58</v>
      </c>
      <c r="BM17" s="83"/>
      <c r="BN17" s="84"/>
      <c r="BO17" s="85"/>
      <c r="BP17" s="96"/>
      <c r="BQ17" s="70"/>
      <c r="BR17" s="70"/>
      <c r="BS17" s="70"/>
      <c r="BT17" s="70"/>
    </row>
    <row r="18" customFormat="false" ht="15" hidden="false" customHeight="true" outlineLevel="0" collapsed="false">
      <c r="A18" s="59" t="n">
        <v>12</v>
      </c>
      <c r="B18" s="60" t="str">
        <f aca="false">INDEX(T,18+INT(MOD(R18-1,7)),lang)</f>
        <v>Mon</v>
      </c>
      <c r="C18" s="61" t="str">
        <f aca="false">INDEX(T,24+MONTH(R18),lang) &amp; " " &amp; DAY(R18) &amp; ", " &amp; YEAR(R18)</f>
        <v>Jun 18, 2018</v>
      </c>
      <c r="D18" s="62" t="n">
        <f aca="false">TIME(HOUR(R18),MINUTE(R18),0)</f>
        <v>0.333333333333333</v>
      </c>
      <c r="E18" s="63" t="str">
        <f aca="false">AB40</f>
        <v>Suecia</v>
      </c>
      <c r="F18" s="64" t="n">
        <v>1</v>
      </c>
      <c r="G18" s="65" t="n">
        <v>0</v>
      </c>
      <c r="H18" s="66" t="str">
        <f aca="false">AB41</f>
        <v>República de Corea</v>
      </c>
      <c r="J18" s="87" t="str">
        <f aca="false">VLOOKUP(4,AA14:AK17,2,0)</f>
        <v>Marruecos</v>
      </c>
      <c r="K18" s="88" t="n">
        <f aca="false">L18+M18+N18</f>
        <v>3</v>
      </c>
      <c r="L18" s="88" t="n">
        <f aca="false">VLOOKUP(4,AA14:AK17,3,0)</f>
        <v>0</v>
      </c>
      <c r="M18" s="88" t="n">
        <f aca="false">VLOOKUP(4,AA14:AK17,4,0)</f>
        <v>1</v>
      </c>
      <c r="N18" s="88" t="n">
        <f aca="false">VLOOKUP(4,AA14:AK17,5,0)</f>
        <v>2</v>
      </c>
      <c r="O18" s="88" t="str">
        <f aca="false">VLOOKUP(4,AA14:AK17,6,0) &amp; " - " &amp; VLOOKUP(4,AA14:AK17,7,0)</f>
        <v>2 - 4</v>
      </c>
      <c r="P18" s="89" t="n">
        <f aca="false">L18*3+M18</f>
        <v>1</v>
      </c>
      <c r="R18" s="40" t="n">
        <f aca="false">DATE(2018,6,18)+TIME(1,0,0)+gmt_delta</f>
        <v>43269.3333333333</v>
      </c>
      <c r="S18" s="41" t="str">
        <f aca="false">IF(OR(F18="",G18=""),"",IF(F18&gt;G18,E18&amp;"_win",IF(F18&lt;G18,E18&amp;"_lose",E18&amp;"_draw")))</f>
        <v>Suecia_win</v>
      </c>
      <c r="T18" s="41" t="str">
        <f aca="false">IF(S18="","",IF(F18&lt;G18,H18&amp;"_win",IF(F18&gt;G18,H18&amp;"_lose",H18&amp;"_draw")))</f>
        <v>República de Corea_lose</v>
      </c>
      <c r="U18" s="42" t="n">
        <f aca="false">IF(S18="",0,IF(VLOOKUP(E18,$AB$8:$AK$53,7,0)=VLOOKUP(H18,$AB$8:$AK$53,7,0),1,0))</f>
        <v>0</v>
      </c>
      <c r="V18" s="40" t="n">
        <f aca="false">U18*F18</f>
        <v>0</v>
      </c>
      <c r="W18" s="40" t="n">
        <f aca="false">U18*G18</f>
        <v>0</v>
      </c>
      <c r="X18" s="40" t="n">
        <f aca="false">IF(OR(E18=my_team,H18=my_team),1,0)</f>
        <v>0</v>
      </c>
      <c r="Y18" s="40" t="n">
        <f aca="false">IF(OR(F18="",G18=""),"",IF(F18&gt;G18,1,IF(F18&lt;G18,-1,0)))</f>
        <v>1</v>
      </c>
      <c r="AC18" s="40" t="n">
        <f aca="false">MAX(AC14:AC17)-MIN(AC14:AC17)+1</f>
        <v>2</v>
      </c>
      <c r="AD18" s="40" t="n">
        <f aca="false">MAX(AD14:AD17)-MIN(AD14:AD17)+1</f>
        <v>2</v>
      </c>
      <c r="AE18" s="40" t="n">
        <f aca="false">MAX(AE14:AE17)-MIN(AE14:AE17)+1</f>
        <v>3</v>
      </c>
      <c r="AF18" s="40" t="n">
        <f aca="false">MAX(AF14:AF17)-MIN(AF14:AF17)+1</f>
        <v>5</v>
      </c>
      <c r="AG18" s="40" t="n">
        <f aca="false">MAX(AG14:AG17)-MIN(AG14:AG17)+1</f>
        <v>4</v>
      </c>
      <c r="AH18" s="40" t="n">
        <f aca="false">MAX(AH14:AH17)-AH19+1</f>
        <v>40305</v>
      </c>
      <c r="AI18" s="40" t="n">
        <f aca="false">MAX(AI14:AI17)-AI19+1</f>
        <v>4</v>
      </c>
      <c r="AK18" s="40" t="n">
        <f aca="false">MAX(AK14:AK17)-MIN(AK14:AK17)+1</f>
        <v>5</v>
      </c>
      <c r="AL18" s="40" t="n">
        <f aca="false">MAX(AL14:AL17)-MIN(AL14:AL17)+1</f>
        <v>1</v>
      </c>
      <c r="AP18" s="40" t="n">
        <f aca="false">MAX(AP14:AP17)-MIN(AP14:AP17)+1</f>
        <v>1</v>
      </c>
      <c r="AQ18" s="40" t="n">
        <f aca="false">MAX(AQ14:AQ17)-MIN(AQ14:AQ17)+1</f>
        <v>1</v>
      </c>
      <c r="AR18" s="40" t="n">
        <f aca="false">MAX(AR14:AR17)-MIN(AR14:AR17)+1</f>
        <v>1</v>
      </c>
      <c r="AS18" s="40" t="n">
        <f aca="false">MAX(AS14:AS17)-MIN(AS14:AS17)+1</f>
        <v>1</v>
      </c>
      <c r="AT18" s="40" t="n">
        <f aca="false">MAX(AT14:AT17)-MIN(AT14:AT17)+1</f>
        <v>1</v>
      </c>
      <c r="AY18" s="78" t="n">
        <v>53</v>
      </c>
      <c r="AZ18" s="79" t="str">
        <f aca="false">AO32</f>
        <v>Brasil</v>
      </c>
      <c r="BA18" s="80"/>
      <c r="BB18" s="81"/>
      <c r="BC18" s="70"/>
      <c r="BD18" s="70"/>
      <c r="BE18" s="70"/>
      <c r="BF18" s="70"/>
      <c r="BG18" s="70"/>
      <c r="BH18" s="70"/>
      <c r="BI18" s="90"/>
      <c r="BJ18" s="70"/>
      <c r="BK18" s="70"/>
      <c r="BL18" s="70"/>
      <c r="BM18" s="70"/>
      <c r="BN18" s="70"/>
      <c r="BO18" s="90"/>
      <c r="BP18" s="70"/>
      <c r="BQ18" s="70"/>
      <c r="BR18" s="70"/>
      <c r="BS18" s="70"/>
      <c r="BT18" s="70"/>
    </row>
    <row r="19" customFormat="false" ht="15" hidden="false" customHeight="true" outlineLevel="0" collapsed="false">
      <c r="A19" s="59" t="n">
        <v>13</v>
      </c>
      <c r="B19" s="60" t="str">
        <f aca="false">INDEX(T,18+INT(MOD(R19-1,7)),lang)</f>
        <v>Mon</v>
      </c>
      <c r="C19" s="61" t="str">
        <f aca="false">INDEX(T,24+MONTH(R19),lang) &amp; " " &amp; DAY(R19) &amp; ", " &amp; YEAR(R19)</f>
        <v>Jun 18, 2018</v>
      </c>
      <c r="D19" s="62" t="n">
        <f aca="false">TIME(HOUR(R19),MINUTE(R19),0)</f>
        <v>0.458333333333333</v>
      </c>
      <c r="E19" s="63" t="str">
        <f aca="false">AB44</f>
        <v>Bélgica</v>
      </c>
      <c r="F19" s="64" t="n">
        <v>3</v>
      </c>
      <c r="G19" s="65" t="n">
        <v>0</v>
      </c>
      <c r="H19" s="66" t="str">
        <f aca="false">AB45</f>
        <v>Panamá</v>
      </c>
      <c r="J19" s="91"/>
      <c r="K19" s="92"/>
      <c r="L19" s="92"/>
      <c r="M19" s="92"/>
      <c r="N19" s="92"/>
      <c r="O19" s="92"/>
      <c r="P19" s="92"/>
      <c r="R19" s="40" t="n">
        <f aca="false">DATE(2018,6,18)+TIME(4,0,0)+gmt_delta</f>
        <v>43269.4583333333</v>
      </c>
      <c r="S19" s="41" t="str">
        <f aca="false">IF(OR(F19="",G19=""),"",IF(F19&gt;G19,E19&amp;"_win",IF(F19&lt;G19,E19&amp;"_lose",E19&amp;"_draw")))</f>
        <v>Bélgica_win</v>
      </c>
      <c r="T19" s="41" t="str">
        <f aca="false">IF(S19="","",IF(F19&lt;G19,H19&amp;"_win",IF(F19&gt;G19,H19&amp;"_lose",H19&amp;"_draw")))</f>
        <v>Panamá_lose</v>
      </c>
      <c r="U19" s="42" t="n">
        <f aca="false">IF(S19="",0,IF(VLOOKUP(E19,$AB$8:$AK$53,7,0)=VLOOKUP(H19,$AB$8:$AK$53,7,0),1,0))</f>
        <v>0</v>
      </c>
      <c r="V19" s="40" t="n">
        <f aca="false">U19*F19</f>
        <v>0</v>
      </c>
      <c r="W19" s="40" t="n">
        <f aca="false">U19*G19</f>
        <v>0</v>
      </c>
      <c r="X19" s="40" t="n">
        <f aca="false">IF(OR(E19=my_team,H19=my_team),1,0)</f>
        <v>0</v>
      </c>
      <c r="Y19" s="40" t="n">
        <f aca="false">IF(OR(F19="",G19=""),"",IF(F19&gt;G19,1,IF(F19&lt;G19,-1,0)))</f>
        <v>1</v>
      </c>
      <c r="AH19" s="40" t="n">
        <f aca="false">MIN(AH14:AH17)</f>
        <v>9802</v>
      </c>
      <c r="AI19" s="40" t="n">
        <f aca="false">MIN(AI14:AI17)</f>
        <v>-2</v>
      </c>
      <c r="AY19" s="78"/>
      <c r="AZ19" s="82" t="str">
        <f aca="false">AO39</f>
        <v>México</v>
      </c>
      <c r="BA19" s="83"/>
      <c r="BB19" s="84"/>
      <c r="BC19" s="85"/>
      <c r="BD19" s="70"/>
      <c r="BE19" s="70" t="str">
        <f aca="false">INDEX(T,24+MONTH(R70),lang) &amp; " " &amp; DAY(R70) &amp; ", " &amp; YEAR(R70) &amp; "   " &amp; TEXT(TIME(HOUR(R70),MINUTE(R70),0),"hh:mm")</f>
        <v>Jul 6, 2018   14:00</v>
      </c>
      <c r="BF19" s="70"/>
      <c r="BG19" s="70"/>
      <c r="BH19" s="86"/>
      <c r="BI19" s="90"/>
      <c r="BJ19" s="70"/>
      <c r="BK19" s="70"/>
      <c r="BL19" s="70"/>
      <c r="BM19" s="70"/>
      <c r="BN19" s="70"/>
      <c r="BO19" s="90"/>
      <c r="BP19" s="70"/>
      <c r="BQ19" s="70"/>
      <c r="BR19" s="70"/>
      <c r="BS19" s="70"/>
      <c r="BT19" s="70"/>
    </row>
    <row r="20" customFormat="false" ht="15" hidden="false" customHeight="true" outlineLevel="0" collapsed="false">
      <c r="A20" s="59" t="n">
        <v>14</v>
      </c>
      <c r="B20" s="60" t="str">
        <f aca="false">INDEX(T,18+INT(MOD(R20-1,7)),lang)</f>
        <v>Mon</v>
      </c>
      <c r="C20" s="61" t="str">
        <f aca="false">INDEX(T,24+MONTH(R20),lang) &amp; " " &amp; DAY(R20) &amp; ", " &amp; YEAR(R20)</f>
        <v>Jun 18, 2018</v>
      </c>
      <c r="D20" s="62" t="n">
        <f aca="false">TIME(HOUR(R20),MINUTE(R20),0)</f>
        <v>0.583333333333333</v>
      </c>
      <c r="E20" s="63" t="str">
        <f aca="false">AB46</f>
        <v>Túnez</v>
      </c>
      <c r="F20" s="64" t="n">
        <v>1</v>
      </c>
      <c r="G20" s="65" t="n">
        <v>2</v>
      </c>
      <c r="H20" s="66" t="str">
        <f aca="false">AB47</f>
        <v>Inglaterra</v>
      </c>
      <c r="J20" s="67" t="str">
        <f aca="false">INDEX(T,9,lang) &amp; " " &amp; "C"</f>
        <v>Grupo C</v>
      </c>
      <c r="K20" s="68" t="str">
        <f aca="false">INDEX(T,10,lang)</f>
        <v>J</v>
      </c>
      <c r="L20" s="68" t="str">
        <f aca="false">INDEX(T,11,lang)</f>
        <v>G</v>
      </c>
      <c r="M20" s="68" t="str">
        <f aca="false">INDEX(T,12,lang)</f>
        <v>DRAW</v>
      </c>
      <c r="N20" s="68" t="str">
        <f aca="false">INDEX(T,13,lang)</f>
        <v>P</v>
      </c>
      <c r="O20" s="68" t="str">
        <f aca="false">INDEX(T,14,lang)</f>
        <v>GF - GC</v>
      </c>
      <c r="P20" s="69" t="str">
        <f aca="false">INDEX(T,15,lang)</f>
        <v>PTS</v>
      </c>
      <c r="R20" s="40" t="n">
        <f aca="false">DATE(2018,6,18)+TIME(7,0,0)+gmt_delta</f>
        <v>43269.5833333333</v>
      </c>
      <c r="S20" s="41" t="str">
        <f aca="false">IF(OR(F20="",G20=""),"",IF(F20&gt;G20,E20&amp;"_win",IF(F20&lt;G20,E20&amp;"_lose",E20&amp;"_draw")))</f>
        <v>Túnez_lose</v>
      </c>
      <c r="T20" s="41" t="str">
        <f aca="false">IF(S20="","",IF(F20&lt;G20,H20&amp;"_win",IF(F20&gt;G20,H20&amp;"_lose",H20&amp;"_draw")))</f>
        <v>Inglaterra_win</v>
      </c>
      <c r="U20" s="42" t="n">
        <f aca="false">IF(S20="",0,IF(VLOOKUP(E20,$AB$8:$AK$53,7,0)=VLOOKUP(H20,$AB$8:$AK$53,7,0),1,0))</f>
        <v>0</v>
      </c>
      <c r="V20" s="40" t="n">
        <f aca="false">U20*F20</f>
        <v>0</v>
      </c>
      <c r="W20" s="40" t="n">
        <f aca="false">U20*G20</f>
        <v>0</v>
      </c>
      <c r="X20" s="40" t="n">
        <f aca="false">IF(OR(E20=my_team,H20=my_team),1,0)</f>
        <v>0</v>
      </c>
      <c r="Y20" s="40" t="n">
        <f aca="false">IF(OR(F20="",G20=""),"",IF(F20&gt;G20,1,IF(F20&lt;G20,-1,0)))</f>
        <v>-1</v>
      </c>
      <c r="AA20" s="40" t="n">
        <f aca="false">COUNTIF(AN20:AN23,CONCATENATE("&gt;=",AN20))</f>
        <v>1</v>
      </c>
      <c r="AB20" s="42" t="str">
        <f aca="false">VLOOKUP("France",T,lang,0)</f>
        <v>Francia</v>
      </c>
      <c r="AC20" s="40" t="n">
        <f aca="false">COUNTIF($S$7:$T$54,"=" &amp; AB20 &amp; "_win")</f>
        <v>2</v>
      </c>
      <c r="AD20" s="40" t="n">
        <f aca="false">COUNTIF($S$7:$T$54,"=" &amp; AB20 &amp; "_draw")</f>
        <v>1</v>
      </c>
      <c r="AE20" s="40" t="n">
        <f aca="false">COUNTIF($S$7:$T$54,"=" &amp; AB20 &amp; "_lose")</f>
        <v>0</v>
      </c>
      <c r="AF20" s="40" t="n">
        <f aca="false">SUMIF($E$7:$E$54,$AB20,$F$7:$F$54) + SUMIF($H$7:$H$54,$AB20,$G$7:$G$54)</f>
        <v>3</v>
      </c>
      <c r="AG20" s="40" t="n">
        <f aca="false">SUMIF($E$7:$E$54,$AB20,$G$7:$G$54) + SUMIF($H$7:$H$54,$AB20,$F$7:$F$54)</f>
        <v>1</v>
      </c>
      <c r="AH20" s="40" t="n">
        <f aca="false">(AF20-AG20)*100+AK20*10000+AF20</f>
        <v>70203</v>
      </c>
      <c r="AI20" s="40" t="n">
        <f aca="false">AF20-AG20</f>
        <v>2</v>
      </c>
      <c r="AJ20" s="40" t="n">
        <f aca="false">(AI20-AI25)/AI24</f>
        <v>0.833333333333333</v>
      </c>
      <c r="AK20" s="40" t="n">
        <f aca="false">AC20*3+AD20</f>
        <v>7</v>
      </c>
      <c r="AL20" s="40" t="n">
        <f aca="false">AP20/AP24*1000+AQ20/AQ24*100+AT20/AT24*10+AR20/AR24</f>
        <v>0</v>
      </c>
      <c r="AM20" s="40" t="n">
        <f aca="false">VLOOKUP(AB20,db_fifarank,2,0)/2000000</f>
        <v>0.0005915</v>
      </c>
      <c r="AN20" s="42" t="n">
        <f aca="false">1000*AK20/AK24+100*AJ20+10*AF20/AF24+1*AL20/AL24+AM20</f>
        <v>1098.33392483333</v>
      </c>
      <c r="AO20" s="43" t="str">
        <f aca="false">IF(SUM(AC20:AE23)=12,J21,INDEX(T,74,lang))</f>
        <v>Francia</v>
      </c>
      <c r="AP20" s="44" t="n">
        <f aca="false">SUMPRODUCT(($S$7:$S$54=AB20&amp;"_win")*($U$7:$U$54))+SUMPRODUCT(($T$7:$T$54=AB20&amp;"_win")*($U$7:$U$54))</f>
        <v>0</v>
      </c>
      <c r="AQ20" s="44" t="n">
        <f aca="false">SUMPRODUCT(($S$7:$S$54=AB20&amp;"_draw")*($U$7:$U$54))+SUMPRODUCT(($T$7:$T$54=AB20&amp;"_draw")*($U$7:$U$54))</f>
        <v>0</v>
      </c>
      <c r="AR20" s="44" t="n">
        <f aca="false">SUMPRODUCT(($E$7:$E$54=AB20)*($U$7:$U$54)*($F$7:$F$54))+SUMPRODUCT(($H$7:$H$54=AB20)*($U$7:$U$54)*($G$7:$G$54))</f>
        <v>0</v>
      </c>
      <c r="AS20" s="44" t="n">
        <f aca="false">SUMPRODUCT(($E$7:$E$54=AB20)*($U$7:$U$54)*($G$7:$G$54))+SUMPRODUCT(($H$7:$H$54=AB20)*($U$7:$U$54)*($F$7:$F$54))</f>
        <v>0</v>
      </c>
      <c r="AT20" s="44" t="n">
        <f aca="false">AR20-AS20</f>
        <v>0</v>
      </c>
      <c r="AY20" s="70"/>
      <c r="AZ20" s="70"/>
      <c r="BA20" s="70"/>
      <c r="BB20" s="70"/>
      <c r="BC20" s="90"/>
      <c r="BD20" s="70"/>
      <c r="BE20" s="78" t="n">
        <v>58</v>
      </c>
      <c r="BF20" s="79" t="str">
        <f aca="false">T62</f>
        <v>W53</v>
      </c>
      <c r="BG20" s="80"/>
      <c r="BH20" s="81"/>
      <c r="BI20" s="94"/>
      <c r="BJ20" s="70"/>
      <c r="BK20" s="70"/>
      <c r="BL20" s="70"/>
      <c r="BM20" s="70"/>
      <c r="BN20" s="70"/>
      <c r="BO20" s="90"/>
      <c r="BP20" s="70"/>
      <c r="BQ20" s="70"/>
      <c r="BR20" s="70"/>
      <c r="BS20" s="70"/>
      <c r="BT20" s="70"/>
    </row>
    <row r="21" customFormat="false" ht="15" hidden="false" customHeight="true" outlineLevel="0" collapsed="false">
      <c r="A21" s="59" t="n">
        <v>15</v>
      </c>
      <c r="B21" s="60" t="str">
        <f aca="false">INDEX(T,18+INT(MOD(R21-1,7)),lang)</f>
        <v>Tue</v>
      </c>
      <c r="C21" s="61" t="str">
        <f aca="false">INDEX(T,24+MONTH(R21),lang) &amp; " " &amp; DAY(R21) &amp; ", " &amp; YEAR(R21)</f>
        <v>Jun 19, 2018</v>
      </c>
      <c r="D21" s="62" t="n">
        <f aca="false">TIME(HOUR(R21),MINUTE(R21),0)</f>
        <v>0.458333333333333</v>
      </c>
      <c r="E21" s="63" t="str">
        <f aca="false">AB50</f>
        <v>Polonia</v>
      </c>
      <c r="F21" s="64" t="n">
        <v>1</v>
      </c>
      <c r="G21" s="65" t="n">
        <v>2</v>
      </c>
      <c r="H21" s="66" t="str">
        <f aca="false">AB51</f>
        <v>Senegal</v>
      </c>
      <c r="J21" s="71" t="str">
        <f aca="false">VLOOKUP(1,AA20:AK23,2,0)</f>
        <v>Francia</v>
      </c>
      <c r="K21" s="72" t="n">
        <f aca="false">L21+M21+N21</f>
        <v>3</v>
      </c>
      <c r="L21" s="72" t="n">
        <f aca="false">VLOOKUP(1,AA20:AK23,3,0)</f>
        <v>2</v>
      </c>
      <c r="M21" s="72" t="n">
        <f aca="false">VLOOKUP(1,AA20:AK23,4,0)</f>
        <v>1</v>
      </c>
      <c r="N21" s="72" t="n">
        <f aca="false">VLOOKUP(1,AA20:AK23,5,0)</f>
        <v>0</v>
      </c>
      <c r="O21" s="72" t="str">
        <f aca="false">VLOOKUP(1,AA20:AK23,6,0) &amp; " - " &amp; VLOOKUP(1,AA20:AK23,7,0)</f>
        <v>3 - 1</v>
      </c>
      <c r="P21" s="73" t="n">
        <f aca="false">L21*3+M21</f>
        <v>7</v>
      </c>
      <c r="R21" s="40" t="n">
        <f aca="false">DATE(2018,6,19)+TIME(4,0,0)+gmt_delta</f>
        <v>43270.4583333333</v>
      </c>
      <c r="S21" s="41" t="str">
        <f aca="false">IF(OR(F21="",G21=""),"",IF(F21&gt;G21,E21&amp;"_win",IF(F21&lt;G21,E21&amp;"_lose",E21&amp;"_draw")))</f>
        <v>Polonia_lose</v>
      </c>
      <c r="T21" s="41" t="str">
        <f aca="false">IF(S21="","",IF(F21&lt;G21,H21&amp;"_win",IF(F21&gt;G21,H21&amp;"_lose",H21&amp;"_draw")))</f>
        <v>Senegal_win</v>
      </c>
      <c r="U21" s="42" t="n">
        <f aca="false">IF(S21="",0,IF(VLOOKUP(E21,$AB$8:$AK$53,7,0)=VLOOKUP(H21,$AB$8:$AK$53,7,0),1,0))</f>
        <v>0</v>
      </c>
      <c r="V21" s="40" t="n">
        <f aca="false">U21*F21</f>
        <v>0</v>
      </c>
      <c r="W21" s="40" t="n">
        <f aca="false">U21*G21</f>
        <v>0</v>
      </c>
      <c r="X21" s="40" t="n">
        <f aca="false">IF(OR(E21=my_team,H21=my_team),1,0)</f>
        <v>0</v>
      </c>
      <c r="Y21" s="40" t="n">
        <f aca="false">IF(OR(F21="",G21=""),"",IF(F21&gt;G21,1,IF(F21&lt;G21,-1,0)))</f>
        <v>-1</v>
      </c>
      <c r="AA21" s="40" t="n">
        <f aca="false">COUNTIF(AN20:AN23,CONCATENATE("&gt;=",AN21))</f>
        <v>4</v>
      </c>
      <c r="AB21" s="42" t="str">
        <f aca="false">VLOOKUP("Australia",T,lang,0)</f>
        <v>Australia</v>
      </c>
      <c r="AC21" s="40" t="n">
        <f aca="false">COUNTIF($S$7:$T$54,"=" &amp; AB21 &amp; "_win")</f>
        <v>0</v>
      </c>
      <c r="AD21" s="40" t="n">
        <f aca="false">COUNTIF($S$7:$T$54,"=" &amp; AB21 &amp; "_draw")</f>
        <v>1</v>
      </c>
      <c r="AE21" s="40" t="n">
        <f aca="false">COUNTIF($S$7:$T$54,"=" &amp; AB21 &amp; "_lose")</f>
        <v>2</v>
      </c>
      <c r="AF21" s="40" t="n">
        <f aca="false">SUMIF($E$7:$E$54,$AB21,$F$7:$F$54) + SUMIF($H$7:$H$54,$AB21,$G$7:$G$54)</f>
        <v>2</v>
      </c>
      <c r="AG21" s="40" t="n">
        <f aca="false">SUMIF($E$7:$E$54,$AB21,$G$7:$G$54) + SUMIF($H$7:$H$54,$AB21,$F$7:$F$54)</f>
        <v>5</v>
      </c>
      <c r="AH21" s="40" t="n">
        <f aca="false">(AF21-AG21)*100+AK21*10000+AF21</f>
        <v>9702</v>
      </c>
      <c r="AI21" s="40" t="n">
        <f aca="false">AF21-AG21</f>
        <v>-3</v>
      </c>
      <c r="AJ21" s="40" t="n">
        <f aca="false">(AI21-AI25)/AI24</f>
        <v>0</v>
      </c>
      <c r="AK21" s="40" t="n">
        <f aca="false">AC21*3+AD21</f>
        <v>1</v>
      </c>
      <c r="AL21" s="40" t="n">
        <f aca="false">AP21/AP24*1000+AQ21/AQ24*100+AT21/AT24*10+AR21/AR24</f>
        <v>0</v>
      </c>
      <c r="AM21" s="40" t="n">
        <f aca="false">VLOOKUP(AB21,db_fifarank,2,0)/2000000</f>
        <v>0.0003735</v>
      </c>
      <c r="AN21" s="42" t="n">
        <f aca="false">1000*AK21/AK24+100*AJ21+10*AF21/AF24+1*AL21/AL24+AM21</f>
        <v>152.857516357143</v>
      </c>
      <c r="AO21" s="43" t="str">
        <f aca="false">IF(SUM(AC20:AE23)=12,J22,INDEX(T,75,lang))</f>
        <v>Dinamarca</v>
      </c>
      <c r="AP21" s="44" t="n">
        <f aca="false">SUMPRODUCT(($S$7:$S$54=AB21&amp;"_win")*($U$7:$U$54))+SUMPRODUCT(($T$7:$T$54=AB21&amp;"_win")*($U$7:$U$54))</f>
        <v>0</v>
      </c>
      <c r="AQ21" s="44" t="n">
        <f aca="false">SUMPRODUCT(($S$7:$S$54=AB21&amp;"_draw")*($U$7:$U$54))+SUMPRODUCT(($T$7:$T$54=AB21&amp;"_draw")*($U$7:$U$54))</f>
        <v>0</v>
      </c>
      <c r="AR21" s="44" t="n">
        <f aca="false">SUMPRODUCT(($E$7:$E$54=AB21)*($U$7:$U$54)*($F$7:$F$54))+SUMPRODUCT(($H$7:$H$54=AB21)*($U$7:$U$54)*($G$7:$G$54))</f>
        <v>0</v>
      </c>
      <c r="AS21" s="44" t="n">
        <f aca="false">SUMPRODUCT(($E$7:$E$54=AB21)*($U$7:$U$54)*($G$7:$G$54))+SUMPRODUCT(($H$7:$H$54=AB21)*($U$7:$U$54)*($F$7:$F$54))</f>
        <v>0</v>
      </c>
      <c r="AT21" s="44" t="n">
        <f aca="false">AR21-AS21</f>
        <v>0</v>
      </c>
      <c r="AY21" s="70" t="str">
        <f aca="false">INDEX(T,24+MONTH(R63),lang) &amp; " " &amp; DAY(R63) &amp; ", " &amp; YEAR(R63) &amp; "   " &amp; TEXT(TIME(HOUR(R63),MINUTE(R63),0),"hh:mm")</f>
        <v>Jul 2, 2018   14:00</v>
      </c>
      <c r="AZ21" s="70"/>
      <c r="BA21" s="70"/>
      <c r="BB21" s="86"/>
      <c r="BC21" s="90"/>
      <c r="BD21" s="93"/>
      <c r="BE21" s="78"/>
      <c r="BF21" s="82" t="str">
        <f aca="false">T63</f>
        <v>W54</v>
      </c>
      <c r="BG21" s="83"/>
      <c r="BH21" s="84"/>
      <c r="BI21" s="70"/>
      <c r="BJ21" s="70"/>
      <c r="BK21" s="70"/>
      <c r="BL21" s="70"/>
      <c r="BM21" s="70"/>
      <c r="BN21" s="70"/>
      <c r="BO21" s="90"/>
      <c r="BP21" s="70"/>
      <c r="BQ21" s="70"/>
      <c r="BR21" s="70"/>
      <c r="BS21" s="70"/>
      <c r="BT21" s="70"/>
    </row>
    <row r="22" customFormat="false" ht="15" hidden="false" customHeight="true" outlineLevel="0" collapsed="false">
      <c r="A22" s="59" t="n">
        <v>16</v>
      </c>
      <c r="B22" s="60" t="str">
        <f aca="false">INDEX(T,18+INT(MOD(R22-1,7)),lang)</f>
        <v>Tue</v>
      </c>
      <c r="C22" s="61" t="str">
        <f aca="false">INDEX(T,24+MONTH(R22),lang) &amp; " " &amp; DAY(R22) &amp; ", " &amp; YEAR(R22)</f>
        <v>Jun 19, 2018</v>
      </c>
      <c r="D22" s="62" t="n">
        <f aca="false">TIME(HOUR(R22),MINUTE(R22),0)</f>
        <v>0.333333333333333</v>
      </c>
      <c r="E22" s="63" t="str">
        <f aca="false">AB52</f>
        <v>Colombia</v>
      </c>
      <c r="F22" s="64" t="n">
        <v>1</v>
      </c>
      <c r="G22" s="65" t="n">
        <v>2</v>
      </c>
      <c r="H22" s="66" t="str">
        <f aca="false">AB53</f>
        <v>Japón</v>
      </c>
      <c r="J22" s="75" t="str">
        <f aca="false">VLOOKUP(2,AA20:AK23,2,0)</f>
        <v>Dinamarca</v>
      </c>
      <c r="K22" s="76" t="n">
        <f aca="false">L22+M22+N22</f>
        <v>3</v>
      </c>
      <c r="L22" s="76" t="n">
        <f aca="false">VLOOKUP(2,AA20:AK23,3,0)</f>
        <v>1</v>
      </c>
      <c r="M22" s="76" t="n">
        <f aca="false">VLOOKUP(2,AA20:AK23,4,0)</f>
        <v>2</v>
      </c>
      <c r="N22" s="76" t="n">
        <f aca="false">VLOOKUP(2,AA20:AK23,5,0)</f>
        <v>0</v>
      </c>
      <c r="O22" s="76" t="str">
        <f aca="false">VLOOKUP(2,AA20:AK23,6,0) &amp; " - " &amp; VLOOKUP(2,AA20:AK23,7,0)</f>
        <v>2 - 1</v>
      </c>
      <c r="P22" s="77" t="n">
        <f aca="false">L22*3+M22</f>
        <v>5</v>
      </c>
      <c r="R22" s="40" t="n">
        <f aca="false">DATE(2018,6,19)+TIME(1,0,0)+gmt_delta</f>
        <v>43270.3333333333</v>
      </c>
      <c r="S22" s="41" t="str">
        <f aca="false">IF(OR(F22="",G22=""),"",IF(F22&gt;G22,E22&amp;"_win",IF(F22&lt;G22,E22&amp;"_lose",E22&amp;"_draw")))</f>
        <v>Colombia_lose</v>
      </c>
      <c r="T22" s="41" t="str">
        <f aca="false">IF(S22="","",IF(F22&lt;G22,H22&amp;"_win",IF(F22&gt;G22,H22&amp;"_lose",H22&amp;"_draw")))</f>
        <v>Japón_win</v>
      </c>
      <c r="U22" s="42" t="n">
        <f aca="false">IF(S22="",0,IF(VLOOKUP(E22,$AB$8:$AK$53,7,0)=VLOOKUP(H22,$AB$8:$AK$53,7,0),1,0))</f>
        <v>0</v>
      </c>
      <c r="V22" s="40" t="n">
        <f aca="false">U22*F22</f>
        <v>0</v>
      </c>
      <c r="W22" s="40" t="n">
        <f aca="false">U22*G22</f>
        <v>0</v>
      </c>
      <c r="X22" s="40" t="n">
        <f aca="false">IF(OR(E22=my_team,H22=my_team),1,0)</f>
        <v>0</v>
      </c>
      <c r="Y22" s="40" t="n">
        <f aca="false">IF(OR(F22="",G22=""),"",IF(F22&gt;G22,1,IF(F22&lt;G22,-1,0)))</f>
        <v>-1</v>
      </c>
      <c r="AA22" s="40" t="n">
        <f aca="false">COUNTIF(AN20:AN23,CONCATENATE("&gt;=",AN22))</f>
        <v>3</v>
      </c>
      <c r="AB22" s="42" t="str">
        <f aca="false">VLOOKUP("Peru",T,lang,0)</f>
        <v>Perú</v>
      </c>
      <c r="AC22" s="40" t="n">
        <f aca="false">COUNTIF($S$7:$T$54,"=" &amp; AB22 &amp; "_win")</f>
        <v>1</v>
      </c>
      <c r="AD22" s="40" t="n">
        <f aca="false">COUNTIF($S$7:$T$54,"=" &amp; AB22 &amp; "_draw")</f>
        <v>0</v>
      </c>
      <c r="AE22" s="40" t="n">
        <f aca="false">COUNTIF($S$7:$T$54,"=" &amp; AB22 &amp; "_lose")</f>
        <v>2</v>
      </c>
      <c r="AF22" s="40" t="n">
        <f aca="false">SUMIF($E$7:$E$54,$AB22,$F$7:$F$54) + SUMIF($H$7:$H$54,$AB22,$G$7:$G$54)</f>
        <v>2</v>
      </c>
      <c r="AG22" s="40" t="n">
        <f aca="false">SUMIF($E$7:$E$54,$AB22,$G$7:$G$54) + SUMIF($H$7:$H$54,$AB22,$F$7:$F$54)</f>
        <v>2</v>
      </c>
      <c r="AH22" s="40" t="n">
        <f aca="false">(AF22-AG22)*100+AK22*10000+AF22</f>
        <v>30002</v>
      </c>
      <c r="AI22" s="40" t="n">
        <f aca="false">AF22-AG22</f>
        <v>0</v>
      </c>
      <c r="AJ22" s="40" t="n">
        <f aca="false">(AI22-AI25)/AI24</f>
        <v>0.5</v>
      </c>
      <c r="AK22" s="40" t="n">
        <f aca="false">AC22*3+AD22</f>
        <v>3</v>
      </c>
      <c r="AL22" s="40" t="n">
        <f aca="false">AP22/AP24*1000+AQ22/AQ24*100+AT22/AT24*10+AR22/AR24</f>
        <v>0</v>
      </c>
      <c r="AM22" s="40" t="n">
        <f aca="false">VLOOKUP(AB22,db_fifarank,2,0)/2000000</f>
        <v>0.000564</v>
      </c>
      <c r="AN22" s="42" t="n">
        <f aca="false">1000*AK22/AK24+100*AJ22+10*AF22/AF24+1*AL22/AL24+AM22</f>
        <v>488.571992571429</v>
      </c>
      <c r="AP22" s="44" t="n">
        <f aca="false">SUMPRODUCT(($S$7:$S$54=AB22&amp;"_win")*($U$7:$U$54))+SUMPRODUCT(($T$7:$T$54=AB22&amp;"_win")*($U$7:$U$54))</f>
        <v>0</v>
      </c>
      <c r="AQ22" s="44" t="n">
        <f aca="false">SUMPRODUCT(($S$7:$S$54=AB22&amp;"_draw")*($U$7:$U$54))+SUMPRODUCT(($T$7:$T$54=AB22&amp;"_draw")*($U$7:$U$54))</f>
        <v>0</v>
      </c>
      <c r="AR22" s="44" t="n">
        <f aca="false">SUMPRODUCT(($E$7:$E$54=AB22)*($U$7:$U$54)*($F$7:$F$54))+SUMPRODUCT(($H$7:$H$54=AB22)*($U$7:$U$54)*($G$7:$G$54))</f>
        <v>0</v>
      </c>
      <c r="AS22" s="44" t="n">
        <f aca="false">SUMPRODUCT(($E$7:$E$54=AB22)*($U$7:$U$54)*($G$7:$G$54))+SUMPRODUCT(($H$7:$H$54=AB22)*($U$7:$U$54)*($F$7:$F$54))</f>
        <v>0</v>
      </c>
      <c r="AT22" s="44" t="n">
        <f aca="false">AR22-AS22</f>
        <v>0</v>
      </c>
      <c r="AY22" s="78" t="n">
        <v>54</v>
      </c>
      <c r="AZ22" s="79" t="str">
        <f aca="false">AO44</f>
        <v>1G</v>
      </c>
      <c r="BA22" s="80"/>
      <c r="BB22" s="81"/>
      <c r="BC22" s="94"/>
      <c r="BD22" s="70"/>
      <c r="BE22" s="70"/>
      <c r="BF22" s="70"/>
      <c r="BG22" s="70"/>
      <c r="BH22" s="70"/>
      <c r="BI22" s="70"/>
      <c r="BJ22" s="70"/>
      <c r="BK22" s="70"/>
      <c r="BL22" s="70"/>
      <c r="BM22" s="70"/>
      <c r="BN22" s="70"/>
      <c r="BO22" s="90"/>
      <c r="BP22" s="70"/>
      <c r="BQ22" s="70" t="str">
        <f aca="false">INDEX(T,24+MONTH(R85),lang) &amp; " " &amp; DAY(R85) &amp; ", " &amp; YEAR(R85) &amp; "   " &amp; TEXT(TIME(HOUR(R85),MINUTE(R85),0),"hh:mm")</f>
        <v>Jul 15, 2018   11:00</v>
      </c>
      <c r="BR22" s="70"/>
      <c r="BS22" s="70"/>
      <c r="BT22" s="86"/>
    </row>
    <row r="23" customFormat="false" ht="15" hidden="false" customHeight="true" outlineLevel="0" collapsed="false">
      <c r="A23" s="59" t="n">
        <v>17</v>
      </c>
      <c r="B23" s="60" t="str">
        <f aca="false">INDEX(T,18+INT(MOD(R23-1,7)),lang)</f>
        <v>Tue</v>
      </c>
      <c r="C23" s="61" t="str">
        <f aca="false">INDEX(T,24+MONTH(R23),lang) &amp; " " &amp; DAY(R23) &amp; ", " &amp; YEAR(R23)</f>
        <v>Jun 19, 2018</v>
      </c>
      <c r="D23" s="62" t="n">
        <f aca="false">TIME(HOUR(R23),MINUTE(R23),0)</f>
        <v>0.583333333333333</v>
      </c>
      <c r="E23" s="63" t="str">
        <f aca="false">AB8</f>
        <v>Rusia</v>
      </c>
      <c r="F23" s="64" t="n">
        <v>3</v>
      </c>
      <c r="G23" s="65" t="n">
        <v>1</v>
      </c>
      <c r="H23" s="66" t="str">
        <f aca="false">AB10</f>
        <v>Egipto</v>
      </c>
      <c r="J23" s="75" t="str">
        <f aca="false">VLOOKUP(3,AA20:AK23,2,0)</f>
        <v>Perú</v>
      </c>
      <c r="K23" s="76" t="n">
        <f aca="false">L23+M23+N23</f>
        <v>3</v>
      </c>
      <c r="L23" s="76" t="n">
        <f aca="false">VLOOKUP(3,AA20:AK23,3,0)</f>
        <v>1</v>
      </c>
      <c r="M23" s="76" t="n">
        <f aca="false">VLOOKUP(3,AA20:AK23,4,0)</f>
        <v>0</v>
      </c>
      <c r="N23" s="76" t="n">
        <f aca="false">VLOOKUP(3,AA20:AK23,5,0)</f>
        <v>2</v>
      </c>
      <c r="O23" s="76" t="str">
        <f aca="false">VLOOKUP(3,AA20:AK23,6,0) &amp; " - " &amp; VLOOKUP(3,AA20:AK23,7,0)</f>
        <v>2 - 2</v>
      </c>
      <c r="P23" s="77" t="n">
        <f aca="false">L23*3+M23</f>
        <v>3</v>
      </c>
      <c r="R23" s="40" t="n">
        <f aca="false">DATE(2018,6,19)+TIME(7,0,0)+gmt_delta</f>
        <v>43270.5833333333</v>
      </c>
      <c r="S23" s="41" t="str">
        <f aca="false">IF(OR(F23="",G23=""),"",IF(F23&gt;G23,E23&amp;"_win",IF(F23&lt;G23,E23&amp;"_lose",E23&amp;"_draw")))</f>
        <v>Rusia_win</v>
      </c>
      <c r="T23" s="41" t="str">
        <f aca="false">IF(S23="","",IF(F23&lt;G23,H23&amp;"_win",IF(F23&gt;G23,H23&amp;"_lose",H23&amp;"_draw")))</f>
        <v>Egipto_lose</v>
      </c>
      <c r="U23" s="42" t="n">
        <f aca="false">IF(S23="",0,IF(VLOOKUP(E23,$AB$8:$AK$53,7,0)=VLOOKUP(H23,$AB$8:$AK$53,7,0),1,0))</f>
        <v>0</v>
      </c>
      <c r="V23" s="40" t="n">
        <f aca="false">U23*F23</f>
        <v>0</v>
      </c>
      <c r="W23" s="40" t="n">
        <f aca="false">U23*G23</f>
        <v>0</v>
      </c>
      <c r="X23" s="40" t="n">
        <f aca="false">IF(OR(E23=my_team,H23=my_team),1,0)</f>
        <v>0</v>
      </c>
      <c r="Y23" s="40" t="n">
        <f aca="false">IF(OR(F23="",G23=""),"",IF(F23&gt;G23,1,IF(F23&lt;G23,-1,0)))</f>
        <v>1</v>
      </c>
      <c r="AA23" s="40" t="n">
        <f aca="false">COUNTIF(AN20:AN23,CONCATENATE("&gt;=",AN23))</f>
        <v>2</v>
      </c>
      <c r="AB23" s="42" t="str">
        <f aca="false">VLOOKUP("Denmark",T,lang,0)</f>
        <v>Dinamarca</v>
      </c>
      <c r="AC23" s="40" t="n">
        <f aca="false">COUNTIF($S$7:$T$54,"=" &amp; AB23 &amp; "_win")</f>
        <v>1</v>
      </c>
      <c r="AD23" s="40" t="n">
        <f aca="false">COUNTIF($S$7:$T$54,"=" &amp; AB23 &amp; "_draw")</f>
        <v>2</v>
      </c>
      <c r="AE23" s="40" t="n">
        <f aca="false">COUNTIF($S$7:$T$54,"=" &amp; AB23 &amp; "_lose")</f>
        <v>0</v>
      </c>
      <c r="AF23" s="40" t="n">
        <f aca="false">SUMIF($E$7:$E$54,$AB23,$F$7:$F$54) + SUMIF($H$7:$H$54,$AB23,$G$7:$G$54)</f>
        <v>2</v>
      </c>
      <c r="AG23" s="40" t="n">
        <f aca="false">SUMIF($E$7:$E$54,$AB23,$G$7:$G$54) + SUMIF($H$7:$H$54,$AB23,$F$7:$F$54)</f>
        <v>1</v>
      </c>
      <c r="AH23" s="40" t="n">
        <f aca="false">(AF23-AG23)*100+AK23*10000+AF23</f>
        <v>50102</v>
      </c>
      <c r="AI23" s="40" t="n">
        <f aca="false">AF23-AG23</f>
        <v>1</v>
      </c>
      <c r="AJ23" s="40" t="n">
        <f aca="false">(AI23-AI25)/AI24</f>
        <v>0.666666666666667</v>
      </c>
      <c r="AK23" s="40" t="n">
        <f aca="false">AC23*3+AD23</f>
        <v>5</v>
      </c>
      <c r="AL23" s="40" t="n">
        <f aca="false">AP23/AP24*1000+AQ23/AQ24*100+AT23/AT24*10+AR23/AR24</f>
        <v>0</v>
      </c>
      <c r="AM23" s="40" t="n">
        <f aca="false">VLOOKUP(AB23,db_fifarank,2,0)/2000000</f>
        <v>0.0005495</v>
      </c>
      <c r="AN23" s="42" t="n">
        <f aca="false">1000*AK23/AK24+100*AJ23+10*AF23/AF24+1*AL23/AL24+AM23</f>
        <v>790.952930452381</v>
      </c>
      <c r="AP23" s="44" t="n">
        <f aca="false">SUMPRODUCT(($S$7:$S$54=AB23&amp;"_win")*($U$7:$U$54))+SUMPRODUCT(($T$7:$T$54=AB23&amp;"_win")*($U$7:$U$54))</f>
        <v>0</v>
      </c>
      <c r="AQ23" s="44" t="n">
        <f aca="false">SUMPRODUCT(($S$7:$S$54=AB23&amp;"_draw")*($U$7:$U$54))+SUMPRODUCT(($T$7:$T$54=AB23&amp;"_draw")*($U$7:$U$54))</f>
        <v>0</v>
      </c>
      <c r="AR23" s="44" t="n">
        <f aca="false">SUMPRODUCT(($E$7:$E$54=AB23)*($U$7:$U$54)*($F$7:$F$54))+SUMPRODUCT(($H$7:$H$54=AB23)*($U$7:$U$54)*($G$7:$G$54))</f>
        <v>0</v>
      </c>
      <c r="AS23" s="44" t="n">
        <f aca="false">SUMPRODUCT(($E$7:$E$54=AB23)*($U$7:$U$54)*($G$7:$G$54))+SUMPRODUCT(($H$7:$H$54=AB23)*($U$7:$U$54)*($F$7:$F$54))</f>
        <v>0</v>
      </c>
      <c r="AT23" s="44" t="n">
        <f aca="false">AR23-AS23</f>
        <v>0</v>
      </c>
      <c r="AY23" s="78"/>
      <c r="AZ23" s="82" t="str">
        <f aca="false">AO51</f>
        <v>2H</v>
      </c>
      <c r="BA23" s="83"/>
      <c r="BB23" s="84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90"/>
      <c r="BP23" s="70"/>
      <c r="BQ23" s="78" t="n">
        <v>64</v>
      </c>
      <c r="BR23" s="79" t="str">
        <f aca="false">T76</f>
        <v>W61</v>
      </c>
      <c r="BS23" s="80"/>
      <c r="BT23" s="81"/>
    </row>
    <row r="24" customFormat="false" ht="15" hidden="false" customHeight="true" outlineLevel="0" collapsed="false">
      <c r="A24" s="59" t="n">
        <v>18</v>
      </c>
      <c r="B24" s="60" t="str">
        <f aca="false">INDEX(T,18+INT(MOD(R24-1,7)),lang)</f>
        <v>Wed</v>
      </c>
      <c r="C24" s="61" t="str">
        <f aca="false">INDEX(T,24+MONTH(R24),lang) &amp; " " &amp; DAY(R24) &amp; ", " &amp; YEAR(R24)</f>
        <v>Jun 20, 2018</v>
      </c>
      <c r="D24" s="62" t="n">
        <f aca="false">TIME(HOUR(R24),MINUTE(R24),0)</f>
        <v>0.458333333333333</v>
      </c>
      <c r="E24" s="63" t="str">
        <f aca="false">AB11</f>
        <v>Uruguay</v>
      </c>
      <c r="F24" s="64" t="n">
        <v>1</v>
      </c>
      <c r="G24" s="65" t="n">
        <v>0</v>
      </c>
      <c r="H24" s="66" t="str">
        <f aca="false">AB9</f>
        <v>Arabia Saudita</v>
      </c>
      <c r="J24" s="87" t="str">
        <f aca="false">VLOOKUP(4,AA20:AK23,2,0)</f>
        <v>Australia</v>
      </c>
      <c r="K24" s="88" t="n">
        <f aca="false">L24+M24+N24</f>
        <v>3</v>
      </c>
      <c r="L24" s="88" t="n">
        <f aca="false">VLOOKUP(4,AA20:AK23,3,0)</f>
        <v>0</v>
      </c>
      <c r="M24" s="88" t="n">
        <f aca="false">VLOOKUP(4,AA20:AK23,4,0)</f>
        <v>1</v>
      </c>
      <c r="N24" s="88" t="n">
        <f aca="false">VLOOKUP(4,AA20:AK23,5,0)</f>
        <v>2</v>
      </c>
      <c r="O24" s="88" t="str">
        <f aca="false">VLOOKUP(4,AA20:AK23,6,0) &amp; " - " &amp; VLOOKUP(4,AA20:AK23,7,0)</f>
        <v>2 - 5</v>
      </c>
      <c r="P24" s="89" t="n">
        <f aca="false">L24*3+M24</f>
        <v>1</v>
      </c>
      <c r="R24" s="40" t="n">
        <f aca="false">DATE(2018,6,20)+TIME(4,0,0)+gmt_delta</f>
        <v>43271.4583333333</v>
      </c>
      <c r="S24" s="41" t="str">
        <f aca="false">IF(OR(F24="",G24=""),"",IF(F24&gt;G24,E24&amp;"_win",IF(F24&lt;G24,E24&amp;"_lose",E24&amp;"_draw")))</f>
        <v>Uruguay_win</v>
      </c>
      <c r="T24" s="41" t="str">
        <f aca="false">IF(S24="","",IF(F24&lt;G24,H24&amp;"_win",IF(F24&gt;G24,H24&amp;"_lose",H24&amp;"_draw")))</f>
        <v>Arabia Saudita_lose</v>
      </c>
      <c r="U24" s="42" t="n">
        <f aca="false">IF(S24="",0,IF(VLOOKUP(E24,$AB$8:$AK$53,7,0)=VLOOKUP(H24,$AB$8:$AK$53,7,0),1,0))</f>
        <v>0</v>
      </c>
      <c r="V24" s="40" t="n">
        <f aca="false">U24*F24</f>
        <v>0</v>
      </c>
      <c r="W24" s="40" t="n">
        <f aca="false">U24*G24</f>
        <v>0</v>
      </c>
      <c r="X24" s="40" t="n">
        <f aca="false">IF(OR(E24=my_team,H24=my_team),1,0)</f>
        <v>0</v>
      </c>
      <c r="Y24" s="40" t="n">
        <f aca="false">IF(OR(F24="",G24=""),"",IF(F24&gt;G24,1,IF(F24&lt;G24,-1,0)))</f>
        <v>1</v>
      </c>
      <c r="AC24" s="40" t="n">
        <f aca="false">MAX(AC20:AC23)-MIN(AC20:AC23)+1</f>
        <v>3</v>
      </c>
      <c r="AD24" s="40" t="n">
        <f aca="false">MAX(AD20:AD23)-MIN(AD20:AD23)+1</f>
        <v>3</v>
      </c>
      <c r="AE24" s="40" t="n">
        <f aca="false">MAX(AE20:AE23)-MIN(AE20:AE23)+1</f>
        <v>3</v>
      </c>
      <c r="AF24" s="40" t="n">
        <f aca="false">MAX(AF20:AF23)-MIN(AF20:AF23)+1</f>
        <v>2</v>
      </c>
      <c r="AG24" s="40" t="n">
        <f aca="false">MAX(AG20:AG23)-MIN(AG20:AG23)+1</f>
        <v>5</v>
      </c>
      <c r="AH24" s="40" t="n">
        <f aca="false">MAX(AH20:AH23)-AH25+1</f>
        <v>60502</v>
      </c>
      <c r="AI24" s="40" t="n">
        <f aca="false">MAX(AI20:AI23)-AI25+1</f>
        <v>6</v>
      </c>
      <c r="AK24" s="40" t="n">
        <f aca="false">MAX(AK20:AK23)-MIN(AK20:AK23)+1</f>
        <v>7</v>
      </c>
      <c r="AL24" s="40" t="n">
        <f aca="false">MAX(AL20:AL23)-MIN(AL20:AL23)+1</f>
        <v>1</v>
      </c>
      <c r="AP24" s="40" t="n">
        <f aca="false">MAX(AP20:AP23)-MIN(AP20:AP23)+1</f>
        <v>1</v>
      </c>
      <c r="AQ24" s="40" t="n">
        <f aca="false">MAX(AQ20:AQ23)-MIN(AQ20:AQ23)+1</f>
        <v>1</v>
      </c>
      <c r="AR24" s="40" t="n">
        <f aca="false">MAX(AR20:AR23)-MIN(AR20:AR23)+1</f>
        <v>1</v>
      </c>
      <c r="AS24" s="40" t="n">
        <f aca="false">MAX(AS20:AS23)-MIN(AS20:AS23)+1</f>
        <v>1</v>
      </c>
      <c r="AT24" s="40" t="n">
        <f aca="false">MAX(AT20:AT23)-MIN(AT20:AT23)+1</f>
        <v>1</v>
      </c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90"/>
      <c r="BP24" s="93"/>
      <c r="BQ24" s="78"/>
      <c r="BR24" s="82" t="str">
        <f aca="false">T77</f>
        <v>W62</v>
      </c>
      <c r="BS24" s="83"/>
      <c r="BT24" s="84"/>
    </row>
    <row r="25" customFormat="false" ht="15" hidden="false" customHeight="true" outlineLevel="0" collapsed="false">
      <c r="A25" s="59" t="n">
        <v>19</v>
      </c>
      <c r="B25" s="60" t="str">
        <f aca="false">INDEX(T,18+INT(MOD(R25-1,7)),lang)</f>
        <v>Wed</v>
      </c>
      <c r="C25" s="61" t="str">
        <f aca="false">INDEX(T,24+MONTH(R25),lang) &amp; " " &amp; DAY(R25) &amp; ", " &amp; YEAR(R25)</f>
        <v>Jun 20, 2018</v>
      </c>
      <c r="D25" s="62" t="n">
        <f aca="false">TIME(HOUR(R25),MINUTE(R25),0)</f>
        <v>0.333333333333333</v>
      </c>
      <c r="E25" s="63" t="str">
        <f aca="false">AB14</f>
        <v>Portugal</v>
      </c>
      <c r="F25" s="64" t="n">
        <v>1</v>
      </c>
      <c r="G25" s="65" t="n">
        <v>0</v>
      </c>
      <c r="H25" s="66" t="str">
        <f aca="false">AB16</f>
        <v>Marruecos</v>
      </c>
      <c r="J25" s="91"/>
      <c r="K25" s="92"/>
      <c r="L25" s="92"/>
      <c r="M25" s="92"/>
      <c r="N25" s="92"/>
      <c r="O25" s="92"/>
      <c r="P25" s="92"/>
      <c r="R25" s="40" t="n">
        <f aca="false">DATE(2018,6,20)+TIME(1,0,0)+gmt_delta</f>
        <v>43271.3333333333</v>
      </c>
      <c r="S25" s="41" t="str">
        <f aca="false">IF(OR(F25="",G25=""),"",IF(F25&gt;G25,E25&amp;"_win",IF(F25&lt;G25,E25&amp;"_lose",E25&amp;"_draw")))</f>
        <v>Portugal_win</v>
      </c>
      <c r="T25" s="41" t="str">
        <f aca="false">IF(S25="","",IF(F25&lt;G25,H25&amp;"_win",IF(F25&gt;G25,H25&amp;"_lose",H25&amp;"_draw")))</f>
        <v>Marruecos_lose</v>
      </c>
      <c r="U25" s="42" t="n">
        <f aca="false">IF(S25="",0,IF(VLOOKUP(E25,$AB$8:$AK$53,7,0)=VLOOKUP(H25,$AB$8:$AK$53,7,0),1,0))</f>
        <v>0</v>
      </c>
      <c r="V25" s="40" t="n">
        <f aca="false">U25*F25</f>
        <v>0</v>
      </c>
      <c r="W25" s="40" t="n">
        <f aca="false">U25*G25</f>
        <v>0</v>
      </c>
      <c r="X25" s="40" t="n">
        <f aca="false">IF(OR(E25=my_team,H25=my_team),1,0)</f>
        <v>0</v>
      </c>
      <c r="Y25" s="40" t="n">
        <f aca="false">IF(OR(F25="",G25=""),"",IF(F25&gt;G25,1,IF(F25&lt;G25,-1,0)))</f>
        <v>1</v>
      </c>
      <c r="AH25" s="40" t="n">
        <f aca="false">MIN(AH20:AH23)</f>
        <v>9702</v>
      </c>
      <c r="AI25" s="40" t="n">
        <f aca="false">MIN(AI20:AI23)</f>
        <v>-3</v>
      </c>
      <c r="AY25" s="70" t="str">
        <f aca="false">INDEX(T,24+MONTH(R60),lang) &amp; " " &amp; DAY(R60) &amp; ", " &amp; YEAR(R60) &amp; "   " &amp; TEXT(TIME(HOUR(R60),MINUTE(R60),0),"hh:mm")</f>
        <v>Jul 1, 2018   10:00</v>
      </c>
      <c r="AZ25" s="70"/>
      <c r="BA25" s="70"/>
      <c r="BB25" s="97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90"/>
      <c r="BP25" s="70"/>
      <c r="BQ25" s="70"/>
      <c r="BR25" s="70"/>
      <c r="BS25" s="70"/>
      <c r="BT25" s="70"/>
    </row>
    <row r="26" customFormat="false" ht="15" hidden="false" customHeight="true" outlineLevel="0" collapsed="false">
      <c r="A26" s="59" t="n">
        <v>20</v>
      </c>
      <c r="B26" s="60" t="str">
        <f aca="false">INDEX(T,18+INT(MOD(R26-1,7)),lang)</f>
        <v>Wed</v>
      </c>
      <c r="C26" s="61" t="str">
        <f aca="false">INDEX(T,24+MONTH(R26),lang) &amp; " " &amp; DAY(R26) &amp; ", " &amp; YEAR(R26)</f>
        <v>Jun 20, 2018</v>
      </c>
      <c r="D26" s="62" t="n">
        <f aca="false">TIME(HOUR(R26),MINUTE(R26),0)</f>
        <v>0.583333333333333</v>
      </c>
      <c r="E26" s="63" t="str">
        <f aca="false">AB17</f>
        <v>Irán</v>
      </c>
      <c r="F26" s="64" t="n">
        <v>0</v>
      </c>
      <c r="G26" s="65" t="n">
        <v>1</v>
      </c>
      <c r="H26" s="66" t="str">
        <f aca="false">AB15</f>
        <v>España</v>
      </c>
      <c r="J26" s="67" t="str">
        <f aca="false">INDEX(T,9,lang) &amp; " " &amp; "D"</f>
        <v>Grupo D</v>
      </c>
      <c r="K26" s="68" t="str">
        <f aca="false">INDEX(T,10,lang)</f>
        <v>J</v>
      </c>
      <c r="L26" s="68" t="str">
        <f aca="false">INDEX(T,11,lang)</f>
        <v>G</v>
      </c>
      <c r="M26" s="68" t="str">
        <f aca="false">INDEX(T,12,lang)</f>
        <v>DRAW</v>
      </c>
      <c r="N26" s="68" t="str">
        <f aca="false">INDEX(T,13,lang)</f>
        <v>P</v>
      </c>
      <c r="O26" s="68" t="str">
        <f aca="false">INDEX(T,14,lang)</f>
        <v>GF - GC</v>
      </c>
      <c r="P26" s="69" t="str">
        <f aca="false">INDEX(T,15,lang)</f>
        <v>PTS</v>
      </c>
      <c r="R26" s="40" t="n">
        <f aca="false">DATE(2018,6,20)+TIME(7,0,0)+gmt_delta</f>
        <v>43271.5833333333</v>
      </c>
      <c r="S26" s="41" t="str">
        <f aca="false">IF(OR(F26="",G26=""),"",IF(F26&gt;G26,E26&amp;"_win",IF(F26&lt;G26,E26&amp;"_lose",E26&amp;"_draw")))</f>
        <v>Irán_lose</v>
      </c>
      <c r="T26" s="41" t="str">
        <f aca="false">IF(S26="","",IF(F26&lt;G26,H26&amp;"_win",IF(F26&gt;G26,H26&amp;"_lose",H26&amp;"_draw")))</f>
        <v>España_win</v>
      </c>
      <c r="U26" s="42" t="n">
        <f aca="false">IF(S26="",0,IF(VLOOKUP(E26,$AB$8:$AK$53,7,0)=VLOOKUP(H26,$AB$8:$AK$53,7,0),1,0))</f>
        <v>0</v>
      </c>
      <c r="V26" s="40" t="n">
        <f aca="false">U26*F26</f>
        <v>0</v>
      </c>
      <c r="W26" s="40" t="n">
        <f aca="false">U26*G26</f>
        <v>0</v>
      </c>
      <c r="X26" s="40" t="n">
        <f aca="false">IF(OR(E26=my_team,H26=my_team),1,0)</f>
        <v>0</v>
      </c>
      <c r="Y26" s="40" t="n">
        <f aca="false">IF(OR(F26="",G26=""),"",IF(F26&gt;G26,1,IF(F26&lt;G26,-1,0)))</f>
        <v>-1</v>
      </c>
      <c r="AA26" s="40" t="n">
        <f aca="false">COUNTIF(AN26:AN29,CONCATENATE("&gt;=",AN26))</f>
        <v>2</v>
      </c>
      <c r="AB26" s="42" t="str">
        <f aca="false">VLOOKUP("Argentina",T,lang,0)</f>
        <v>Argentina</v>
      </c>
      <c r="AC26" s="40" t="n">
        <f aca="false">COUNTIF($S$7:$T$54,"=" &amp; AB26 &amp; "_win")</f>
        <v>1</v>
      </c>
      <c r="AD26" s="40" t="n">
        <f aca="false">COUNTIF($S$7:$T$54,"=" &amp; AB26 &amp; "_draw")</f>
        <v>1</v>
      </c>
      <c r="AE26" s="40" t="n">
        <f aca="false">COUNTIF($S$7:$T$54,"=" &amp; AB26 &amp; "_lose")</f>
        <v>1</v>
      </c>
      <c r="AF26" s="40" t="n">
        <f aca="false">SUMIF($E$7:$E$54,$AB26,$F$7:$F$54) + SUMIF($H$7:$H$54,$AB26,$G$7:$G$54)</f>
        <v>3</v>
      </c>
      <c r="AG26" s="40" t="n">
        <f aca="false">SUMIF($E$7:$E$54,$AB26,$G$7:$G$54) + SUMIF($H$7:$H$54,$AB26,$F$7:$F$54)</f>
        <v>5</v>
      </c>
      <c r="AH26" s="40" t="n">
        <f aca="false">(AF26-AG26)*100+AK26*10000+AF26</f>
        <v>39803</v>
      </c>
      <c r="AI26" s="40" t="n">
        <f aca="false">AF26-AG26</f>
        <v>-2</v>
      </c>
      <c r="AJ26" s="40" t="n">
        <f aca="false">(AI26-AI31)/AI30</f>
        <v>0</v>
      </c>
      <c r="AK26" s="40" t="n">
        <f aca="false">AC26*3+AD26</f>
        <v>4</v>
      </c>
      <c r="AL26" s="40" t="n">
        <f aca="false">AP26/AP30*1000+AQ26/AQ30*100+AT26/AT30*10+AR26/AR30</f>
        <v>0</v>
      </c>
      <c r="AM26" s="40" t="n">
        <f aca="false">VLOOKUP(AB26,db_fifarank,2,0)/2000000</f>
        <v>0.000674</v>
      </c>
      <c r="AN26" s="42" t="n">
        <f aca="false">1000*AK26/AK30+100*AJ26+10*AF26/AF30+1*AL26/AL30+AM26</f>
        <v>672.667340666667</v>
      </c>
      <c r="AO26" s="43" t="str">
        <f aca="false">IF(SUM(AC26:AE29)=12,J27,INDEX(T,76,lang))</f>
        <v>Croacia</v>
      </c>
      <c r="AP26" s="44" t="n">
        <f aca="false">SUMPRODUCT(($S$7:$S$54=AB26&amp;"_win")*($U$7:$U$54))+SUMPRODUCT(($T$7:$T$54=AB26&amp;"_win")*($U$7:$U$54))</f>
        <v>0</v>
      </c>
      <c r="AQ26" s="44" t="n">
        <f aca="false">SUMPRODUCT(($S$7:$S$54=AB26&amp;"_draw")*($U$7:$U$54))+SUMPRODUCT(($T$7:$T$54=AB26&amp;"_draw")*($U$7:$U$54))</f>
        <v>0</v>
      </c>
      <c r="AR26" s="44" t="n">
        <f aca="false">SUMPRODUCT(($E$7:$E$54=AB26)*($U$7:$U$54)*($F$7:$F$54))+SUMPRODUCT(($H$7:$H$54=AB26)*($U$7:$U$54)*($G$7:$G$54))</f>
        <v>0</v>
      </c>
      <c r="AS26" s="44" t="n">
        <f aca="false">SUMPRODUCT(($E$7:$E$54=AB26)*($U$7:$U$54)*($G$7:$G$54))+SUMPRODUCT(($H$7:$H$54=AB26)*($U$7:$U$54)*($F$7:$F$54))</f>
        <v>0</v>
      </c>
      <c r="AT26" s="44" t="n">
        <f aca="false">AR26-AS26</f>
        <v>0</v>
      </c>
      <c r="AY26" s="78" t="n">
        <v>51</v>
      </c>
      <c r="AZ26" s="79" t="str">
        <f aca="false">AO14</f>
        <v>España</v>
      </c>
      <c r="BA26" s="80"/>
      <c r="BB26" s="8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90"/>
      <c r="BP26" s="70"/>
      <c r="BQ26" s="70"/>
      <c r="BR26" s="70"/>
      <c r="BS26" s="70"/>
      <c r="BT26" s="70"/>
    </row>
    <row r="27" customFormat="false" ht="15" hidden="false" customHeight="true" outlineLevel="0" collapsed="false">
      <c r="A27" s="59" t="n">
        <v>21</v>
      </c>
      <c r="B27" s="60" t="str">
        <f aca="false">INDEX(T,18+INT(MOD(R27-1,7)),lang)</f>
        <v>Thu</v>
      </c>
      <c r="C27" s="61" t="str">
        <f aca="false">INDEX(T,24+MONTH(R27),lang) &amp; " " &amp; DAY(R27) &amp; ", " &amp; YEAR(R27)</f>
        <v>Jun 21, 2018</v>
      </c>
      <c r="D27" s="62" t="n">
        <f aca="false">TIME(HOUR(R27),MINUTE(R27),0)</f>
        <v>0.458333333333333</v>
      </c>
      <c r="E27" s="63" t="str">
        <f aca="false">AB20</f>
        <v>Francia</v>
      </c>
      <c r="F27" s="64" t="n">
        <v>1</v>
      </c>
      <c r="G27" s="65" t="n">
        <v>0</v>
      </c>
      <c r="H27" s="66" t="str">
        <f aca="false">AB22</f>
        <v>Perú</v>
      </c>
      <c r="J27" s="71" t="str">
        <f aca="false">VLOOKUP(1,AA26:AK29,2,0)</f>
        <v>Croacia</v>
      </c>
      <c r="K27" s="72" t="n">
        <f aca="false">L27+M27+N27</f>
        <v>3</v>
      </c>
      <c r="L27" s="72" t="n">
        <f aca="false">VLOOKUP(1,AA26:AK29,3,0)</f>
        <v>2</v>
      </c>
      <c r="M27" s="72" t="n">
        <f aca="false">VLOOKUP(1,AA26:AK29,4,0)</f>
        <v>1</v>
      </c>
      <c r="N27" s="72" t="n">
        <f aca="false">VLOOKUP(1,AA26:AK29,5,0)</f>
        <v>0</v>
      </c>
      <c r="O27" s="72" t="str">
        <f aca="false">VLOOKUP(1,AA26:AK29,6,0) &amp; " - " &amp; VLOOKUP(1,AA26:AK29,7,0)</f>
        <v>6 - 1</v>
      </c>
      <c r="P27" s="73" t="n">
        <f aca="false">L27*3+M27</f>
        <v>7</v>
      </c>
      <c r="R27" s="40" t="n">
        <f aca="false">DATE(2018,6,21)+TIME(4,0,0)+gmt_delta</f>
        <v>43272.4583333333</v>
      </c>
      <c r="S27" s="41" t="str">
        <f aca="false">IF(OR(F27="",G27=""),"",IF(F27&gt;G27,E27&amp;"_win",IF(F27&lt;G27,E27&amp;"_lose",E27&amp;"_draw")))</f>
        <v>Francia_win</v>
      </c>
      <c r="T27" s="41" t="str">
        <f aca="false">IF(S27="","",IF(F27&lt;G27,H27&amp;"_win",IF(F27&gt;G27,H27&amp;"_lose",H27&amp;"_draw")))</f>
        <v>Perú_lose</v>
      </c>
      <c r="U27" s="42" t="n">
        <f aca="false">IF(S27="",0,IF(VLOOKUP(E27,$AB$8:$AK$53,7,0)=VLOOKUP(H27,$AB$8:$AK$53,7,0),1,0))</f>
        <v>0</v>
      </c>
      <c r="V27" s="40" t="n">
        <f aca="false">U27*F27</f>
        <v>0</v>
      </c>
      <c r="W27" s="40" t="n">
        <f aca="false">U27*G27</f>
        <v>0</v>
      </c>
      <c r="X27" s="40" t="n">
        <f aca="false">IF(OR(E27=my_team,H27=my_team),1,0)</f>
        <v>0</v>
      </c>
      <c r="Y27" s="40" t="n">
        <f aca="false">IF(OR(F27="",G27=""),"",IF(F27&gt;G27,1,IF(F27&lt;G27,-1,0)))</f>
        <v>1</v>
      </c>
      <c r="AA27" s="40" t="n">
        <f aca="false">COUNTIF(AN26:AN29,CONCATENATE("&gt;=",AN27))</f>
        <v>4</v>
      </c>
      <c r="AB27" s="42" t="str">
        <f aca="false">VLOOKUP("Iceland",T,lang,0)</f>
        <v>Islandia</v>
      </c>
      <c r="AC27" s="40" t="n">
        <f aca="false">COUNTIF($S$7:$T$54,"=" &amp; AB27 &amp; "_win")</f>
        <v>0</v>
      </c>
      <c r="AD27" s="40" t="n">
        <f aca="false">COUNTIF($S$7:$T$54,"=" &amp; AB27 &amp; "_draw")</f>
        <v>2</v>
      </c>
      <c r="AE27" s="40" t="n">
        <f aca="false">COUNTIF($S$7:$T$54,"=" &amp; AB27 &amp; "_lose")</f>
        <v>1</v>
      </c>
      <c r="AF27" s="40" t="n">
        <f aca="false">SUMIF($E$7:$E$54,$AB27,$F$7:$F$54) + SUMIF($H$7:$H$54,$AB27,$G$7:$G$54)</f>
        <v>2</v>
      </c>
      <c r="AG27" s="40" t="n">
        <f aca="false">SUMIF($E$7:$E$54,$AB27,$G$7:$G$54) + SUMIF($H$7:$H$54,$AB27,$F$7:$F$54)</f>
        <v>4</v>
      </c>
      <c r="AH27" s="40" t="n">
        <f aca="false">(AF27-AG27)*100+AK27*10000+AF27</f>
        <v>19802</v>
      </c>
      <c r="AI27" s="40" t="n">
        <f aca="false">AF27-AG27</f>
        <v>-2</v>
      </c>
      <c r="AJ27" s="40" t="n">
        <f aca="false">(AI27-AI31)/AI30</f>
        <v>0</v>
      </c>
      <c r="AK27" s="40" t="n">
        <f aca="false">AC27*3+AD27</f>
        <v>2</v>
      </c>
      <c r="AL27" s="40" t="n">
        <f aca="false">AP27/AP30*1000+AQ27/AQ30*100+AT27/AT30*10+AR27/AR30</f>
        <v>0</v>
      </c>
      <c r="AM27" s="40" t="n">
        <f aca="false">VLOOKUP(AB27,db_fifarank,2,0)/2000000</f>
        <v>0.000455</v>
      </c>
      <c r="AN27" s="42" t="n">
        <f aca="false">1000*AK27/AK30+100*AJ27+10*AF27/AF30+1*AL27/AL30+AM27</f>
        <v>337.333788333333</v>
      </c>
      <c r="AO27" s="43" t="str">
        <f aca="false">IF(SUM(AC26:AE29)=12,J28,INDEX(T,77,lang))</f>
        <v>Argentina</v>
      </c>
      <c r="AP27" s="44" t="n">
        <f aca="false">SUMPRODUCT(($S$7:$S$54=AB27&amp;"_win")*($U$7:$U$54))+SUMPRODUCT(($T$7:$T$54=AB27&amp;"_win")*($U$7:$U$54))</f>
        <v>0</v>
      </c>
      <c r="AQ27" s="44" t="n">
        <f aca="false">SUMPRODUCT(($S$7:$S$54=AB27&amp;"_draw")*($U$7:$U$54))+SUMPRODUCT(($T$7:$T$54=AB27&amp;"_draw")*($U$7:$U$54))</f>
        <v>0</v>
      </c>
      <c r="AR27" s="44" t="n">
        <f aca="false">SUMPRODUCT(($E$7:$E$54=AB27)*($U$7:$U$54)*($F$7:$F$54))+SUMPRODUCT(($H$7:$H$54=AB27)*($U$7:$U$54)*($G$7:$G$54))</f>
        <v>0</v>
      </c>
      <c r="AS27" s="44" t="n">
        <f aca="false">SUMPRODUCT(($E$7:$E$54=AB27)*($U$7:$U$54)*($G$7:$G$54))+SUMPRODUCT(($H$7:$H$54=AB27)*($U$7:$U$54)*($F$7:$F$54))</f>
        <v>0</v>
      </c>
      <c r="AT27" s="44" t="n">
        <f aca="false">AR27-AS27</f>
        <v>0</v>
      </c>
      <c r="AY27" s="78"/>
      <c r="AZ27" s="82" t="str">
        <f aca="false">AO9</f>
        <v>Rusia</v>
      </c>
      <c r="BA27" s="83"/>
      <c r="BB27" s="84"/>
      <c r="BC27" s="85"/>
      <c r="BD27" s="70"/>
      <c r="BE27" s="70" t="str">
        <f aca="false">INDEX(T,24+MONTH(R71),lang) &amp; " " &amp; DAY(R71) &amp; ", " &amp; YEAR(R71) &amp; "   " &amp; TEXT(TIME(HOUR(R71),MINUTE(R71),0),"hh:mm")</f>
        <v>Jul 7, 2018   10:00</v>
      </c>
      <c r="BF27" s="70"/>
      <c r="BG27" s="70"/>
      <c r="BH27" s="86"/>
      <c r="BI27" s="70"/>
      <c r="BJ27" s="70"/>
      <c r="BK27" s="70"/>
      <c r="BL27" s="70"/>
      <c r="BM27" s="70"/>
      <c r="BN27" s="70"/>
      <c r="BO27" s="90"/>
      <c r="BP27" s="70"/>
      <c r="BQ27" s="70"/>
      <c r="BR27" s="70"/>
      <c r="BS27" s="70"/>
      <c r="BT27" s="70"/>
    </row>
    <row r="28" customFormat="false" ht="15" hidden="false" customHeight="true" outlineLevel="0" collapsed="false">
      <c r="A28" s="59" t="n">
        <v>22</v>
      </c>
      <c r="B28" s="60" t="str">
        <f aca="false">INDEX(T,18+INT(MOD(R28-1,7)),lang)</f>
        <v>Thu</v>
      </c>
      <c r="C28" s="61" t="str">
        <f aca="false">INDEX(T,24+MONTH(R28),lang) &amp; " " &amp; DAY(R28) &amp; ", " &amp; YEAR(R28)</f>
        <v>Jun 21, 2018</v>
      </c>
      <c r="D28" s="62" t="n">
        <f aca="false">TIME(HOUR(R28),MINUTE(R28),0)</f>
        <v>0.333333333333333</v>
      </c>
      <c r="E28" s="63" t="str">
        <f aca="false">AB23</f>
        <v>Dinamarca</v>
      </c>
      <c r="F28" s="64" t="n">
        <v>1</v>
      </c>
      <c r="G28" s="65" t="n">
        <v>1</v>
      </c>
      <c r="H28" s="66" t="str">
        <f aca="false">AB21</f>
        <v>Australia</v>
      </c>
      <c r="J28" s="75" t="str">
        <f aca="false">VLOOKUP(2,AA26:AK29,2,0)</f>
        <v>Argentina</v>
      </c>
      <c r="K28" s="76" t="n">
        <f aca="false">L28+M28+N28</f>
        <v>3</v>
      </c>
      <c r="L28" s="76" t="n">
        <f aca="false">VLOOKUP(2,AA26:AK29,3,0)</f>
        <v>1</v>
      </c>
      <c r="M28" s="76" t="n">
        <f aca="false">VLOOKUP(2,AA26:AK29,4,0)</f>
        <v>1</v>
      </c>
      <c r="N28" s="76" t="n">
        <f aca="false">VLOOKUP(2,AA26:AK29,5,0)</f>
        <v>1</v>
      </c>
      <c r="O28" s="76" t="str">
        <f aca="false">VLOOKUP(2,AA26:AK29,6,0) &amp; " - " &amp; VLOOKUP(2,AA26:AK29,7,0)</f>
        <v>3 - 5</v>
      </c>
      <c r="P28" s="77" t="n">
        <f aca="false">L28*3+M28</f>
        <v>4</v>
      </c>
      <c r="R28" s="40" t="n">
        <f aca="false">DATE(2018,6,21)+TIME(1,0,0)+gmt_delta</f>
        <v>43272.3333333333</v>
      </c>
      <c r="S28" s="41" t="str">
        <f aca="false">IF(OR(F28="",G28=""),"",IF(F28&gt;G28,E28&amp;"_win",IF(F28&lt;G28,E28&amp;"_lose",E28&amp;"_draw")))</f>
        <v>Dinamarca_draw</v>
      </c>
      <c r="T28" s="41" t="str">
        <f aca="false">IF(S28="","",IF(F28&lt;G28,H28&amp;"_win",IF(F28&gt;G28,H28&amp;"_lose",H28&amp;"_draw")))</f>
        <v>Australia_draw</v>
      </c>
      <c r="U28" s="42" t="n">
        <f aca="false">IF(S28="",0,IF(VLOOKUP(E28,$AB$8:$AK$53,7,0)=VLOOKUP(H28,$AB$8:$AK$53,7,0),1,0))</f>
        <v>0</v>
      </c>
      <c r="V28" s="40" t="n">
        <f aca="false">U28*F28</f>
        <v>0</v>
      </c>
      <c r="W28" s="40" t="n">
        <f aca="false">U28*G28</f>
        <v>0</v>
      </c>
      <c r="X28" s="40" t="n">
        <f aca="false">IF(OR(E28=my_team,H28=my_team),1,0)</f>
        <v>0</v>
      </c>
      <c r="Y28" s="40" t="n">
        <f aca="false">IF(OR(F28="",G28=""),"",IF(F28&gt;G28,1,IF(F28&lt;G28,-1,0)))</f>
        <v>0</v>
      </c>
      <c r="AA28" s="40" t="n">
        <f aca="false">COUNTIF(AN26:AN29,CONCATENATE("&gt;=",AN28))</f>
        <v>1</v>
      </c>
      <c r="AB28" s="42" t="str">
        <f aca="false">VLOOKUP("Croatia",T,lang,0)</f>
        <v>Croacia</v>
      </c>
      <c r="AC28" s="40" t="n">
        <f aca="false">COUNTIF($S$7:$T$54,"=" &amp; AB28 &amp; "_win")</f>
        <v>2</v>
      </c>
      <c r="AD28" s="40" t="n">
        <f aca="false">COUNTIF($S$7:$T$54,"=" &amp; AB28 &amp; "_draw")</f>
        <v>1</v>
      </c>
      <c r="AE28" s="40" t="n">
        <f aca="false">COUNTIF($S$7:$T$54,"=" &amp; AB28 &amp; "_lose")</f>
        <v>0</v>
      </c>
      <c r="AF28" s="40" t="n">
        <f aca="false">SUMIF($E$7:$E$54,$AB28,$F$7:$F$54) + SUMIF($H$7:$H$54,$AB28,$G$7:$G$54)</f>
        <v>6</v>
      </c>
      <c r="AG28" s="40" t="n">
        <f aca="false">SUMIF($E$7:$E$54,$AB28,$G$7:$G$54) + SUMIF($H$7:$H$54,$AB28,$F$7:$F$54)</f>
        <v>1</v>
      </c>
      <c r="AH28" s="40" t="n">
        <f aca="false">(AF28-AG28)*100+AK28*10000+AF28</f>
        <v>70506</v>
      </c>
      <c r="AI28" s="40" t="n">
        <f aca="false">AF28-AG28</f>
        <v>5</v>
      </c>
      <c r="AJ28" s="40" t="n">
        <f aca="false">(AI28-AI31)/AI30</f>
        <v>0.875</v>
      </c>
      <c r="AK28" s="40" t="n">
        <f aca="false">AC28*3+AD28</f>
        <v>7</v>
      </c>
      <c r="AL28" s="40" t="n">
        <f aca="false">AP28/AP30*1000+AQ28/AQ30*100+AT28/AT30*10+AR28/AR30</f>
        <v>0</v>
      </c>
      <c r="AM28" s="40" t="n">
        <f aca="false">VLOOKUP(AB28,db_fifarank,2,0)/2000000</f>
        <v>0.000509</v>
      </c>
      <c r="AN28" s="42" t="n">
        <f aca="false">1000*AK28/AK30+100*AJ28+10*AF28/AF30+1*AL28/AL30+AM28</f>
        <v>1266.16717566667</v>
      </c>
      <c r="AP28" s="44" t="n">
        <f aca="false">SUMPRODUCT(($S$7:$S$54=AB28&amp;"_win")*($U$7:$U$54))+SUMPRODUCT(($T$7:$T$54=AB28&amp;"_win")*($U$7:$U$54))</f>
        <v>0</v>
      </c>
      <c r="AQ28" s="44" t="n">
        <f aca="false">SUMPRODUCT(($S$7:$S$54=AB28&amp;"_draw")*($U$7:$U$54))+SUMPRODUCT(($T$7:$T$54=AB28&amp;"_draw")*($U$7:$U$54))</f>
        <v>0</v>
      </c>
      <c r="AR28" s="44" t="n">
        <f aca="false">SUMPRODUCT(($E$7:$E$54=AB28)*($U$7:$U$54)*($F$7:$F$54))+SUMPRODUCT(($H$7:$H$54=AB28)*($U$7:$U$54)*($G$7:$G$54))</f>
        <v>0</v>
      </c>
      <c r="AS28" s="44" t="n">
        <f aca="false">SUMPRODUCT(($E$7:$E$54=AB28)*($U$7:$U$54)*($G$7:$G$54))+SUMPRODUCT(($H$7:$H$54=AB28)*($U$7:$U$54)*($F$7:$F$54))</f>
        <v>0</v>
      </c>
      <c r="AT28" s="44" t="n">
        <f aca="false">AR28-AS28</f>
        <v>0</v>
      </c>
      <c r="AY28" s="70"/>
      <c r="AZ28" s="70"/>
      <c r="BA28" s="70"/>
      <c r="BB28" s="70"/>
      <c r="BC28" s="90"/>
      <c r="BD28" s="70"/>
      <c r="BE28" s="78" t="n">
        <v>59</v>
      </c>
      <c r="BF28" s="79" t="str">
        <f aca="false">T60</f>
        <v>W51</v>
      </c>
      <c r="BG28" s="80"/>
      <c r="BH28" s="81"/>
      <c r="BI28" s="70"/>
      <c r="BJ28" s="70"/>
      <c r="BK28" s="70"/>
      <c r="BL28" s="70"/>
      <c r="BM28" s="70"/>
      <c r="BN28" s="70"/>
      <c r="BO28" s="90"/>
      <c r="BP28" s="70"/>
      <c r="BQ28" s="70"/>
      <c r="BR28" s="70"/>
      <c r="BS28" s="70"/>
      <c r="BT28" s="70"/>
    </row>
    <row r="29" customFormat="false" ht="15" hidden="false" customHeight="true" outlineLevel="0" collapsed="false">
      <c r="A29" s="59" t="n">
        <v>23</v>
      </c>
      <c r="B29" s="60" t="str">
        <f aca="false">INDEX(T,18+INT(MOD(R29-1,7)),lang)</f>
        <v>Thu</v>
      </c>
      <c r="C29" s="61" t="str">
        <f aca="false">INDEX(T,24+MONTH(R29),lang) &amp; " " &amp; DAY(R29) &amp; ", " &amp; YEAR(R29)</f>
        <v>Jun 21, 2018</v>
      </c>
      <c r="D29" s="62" t="n">
        <f aca="false">TIME(HOUR(R29),MINUTE(R29),0)</f>
        <v>0.583333333333333</v>
      </c>
      <c r="E29" s="63" t="str">
        <f aca="false">AB26</f>
        <v>Argentina</v>
      </c>
      <c r="F29" s="64" t="n">
        <v>0</v>
      </c>
      <c r="G29" s="65" t="n">
        <v>3</v>
      </c>
      <c r="H29" s="66" t="str">
        <f aca="false">AB28</f>
        <v>Croacia</v>
      </c>
      <c r="J29" s="75" t="str">
        <f aca="false">VLOOKUP(3,AA26:AK29,2,0)</f>
        <v>Nigeria</v>
      </c>
      <c r="K29" s="76" t="n">
        <f aca="false">L29+M29+N29</f>
        <v>3</v>
      </c>
      <c r="L29" s="76" t="n">
        <f aca="false">VLOOKUP(3,AA26:AK29,3,0)</f>
        <v>1</v>
      </c>
      <c r="M29" s="76" t="n">
        <f aca="false">VLOOKUP(3,AA26:AK29,4,0)</f>
        <v>0</v>
      </c>
      <c r="N29" s="76" t="n">
        <f aca="false">VLOOKUP(3,AA26:AK29,5,0)</f>
        <v>2</v>
      </c>
      <c r="O29" s="76" t="str">
        <f aca="false">VLOOKUP(3,AA26:AK29,6,0) &amp; " - " &amp; VLOOKUP(3,AA26:AK29,7,0)</f>
        <v>3 - 4</v>
      </c>
      <c r="P29" s="77" t="n">
        <f aca="false">L29*3+M29</f>
        <v>3</v>
      </c>
      <c r="R29" s="40" t="n">
        <f aca="false">DATE(2018,6,21)+TIME(7,0,0)+gmt_delta</f>
        <v>43272.5833333333</v>
      </c>
      <c r="S29" s="41" t="str">
        <f aca="false">IF(OR(F29="",G29=""),"",IF(F29&gt;G29,E29&amp;"_win",IF(F29&lt;G29,E29&amp;"_lose",E29&amp;"_draw")))</f>
        <v>Argentina_lose</v>
      </c>
      <c r="T29" s="41" t="str">
        <f aca="false">IF(S29="","",IF(F29&lt;G29,H29&amp;"_win",IF(F29&gt;G29,H29&amp;"_lose",H29&amp;"_draw")))</f>
        <v>Croacia_win</v>
      </c>
      <c r="U29" s="42" t="n">
        <f aca="false">IF(S29="",0,IF(VLOOKUP(E29,$AB$8:$AK$53,7,0)=VLOOKUP(H29,$AB$8:$AK$53,7,0),1,0))</f>
        <v>0</v>
      </c>
      <c r="V29" s="40" t="n">
        <f aca="false">U29*F29</f>
        <v>0</v>
      </c>
      <c r="W29" s="40" t="n">
        <f aca="false">U29*G29</f>
        <v>0</v>
      </c>
      <c r="X29" s="40" t="n">
        <f aca="false">IF(OR(E29=my_team,H29=my_team),1,0)</f>
        <v>0</v>
      </c>
      <c r="Y29" s="40" t="n">
        <f aca="false">IF(OR(F29="",G29=""),"",IF(F29&gt;G29,1,IF(F29&lt;G29,-1,0)))</f>
        <v>-1</v>
      </c>
      <c r="AA29" s="40" t="n">
        <f aca="false">COUNTIF(AN26:AN29,CONCATENATE("&gt;=",AN29))</f>
        <v>3</v>
      </c>
      <c r="AB29" s="42" t="str">
        <f aca="false">VLOOKUP("Nigeria",T,lang,0)</f>
        <v>Nigeria</v>
      </c>
      <c r="AC29" s="40" t="n">
        <f aca="false">COUNTIF($S$7:$T$54,"=" &amp; AB29 &amp; "_win")</f>
        <v>1</v>
      </c>
      <c r="AD29" s="40" t="n">
        <f aca="false">COUNTIF($S$7:$T$54,"=" &amp; AB29 &amp; "_draw")</f>
        <v>0</v>
      </c>
      <c r="AE29" s="40" t="n">
        <f aca="false">COUNTIF($S$7:$T$54,"=" &amp; AB29 &amp; "_lose")</f>
        <v>2</v>
      </c>
      <c r="AF29" s="40" t="n">
        <f aca="false">SUMIF($E$7:$E$54,$AB29,$F$7:$F$54) + SUMIF($H$7:$H$54,$AB29,$G$7:$G$54)</f>
        <v>3</v>
      </c>
      <c r="AG29" s="40" t="n">
        <f aca="false">SUMIF($E$7:$E$54,$AB29,$G$7:$G$54) + SUMIF($H$7:$H$54,$AB29,$F$7:$F$54)</f>
        <v>4</v>
      </c>
      <c r="AH29" s="40" t="n">
        <f aca="false">(AF29-AG29)*100+AK29*10000+AF29</f>
        <v>29903</v>
      </c>
      <c r="AI29" s="40" t="n">
        <f aca="false">AF29-AG29</f>
        <v>-1</v>
      </c>
      <c r="AJ29" s="40" t="n">
        <f aca="false">(AI29-AI31)/AI30</f>
        <v>0.125</v>
      </c>
      <c r="AK29" s="40" t="n">
        <f aca="false">AC29*3+AD29</f>
        <v>3</v>
      </c>
      <c r="AL29" s="40" t="n">
        <f aca="false">AP29/AP30*1000+AQ29/AQ30*100+AT29/AT30*10+AR29/AR30</f>
        <v>0</v>
      </c>
      <c r="AM29" s="40" t="n">
        <f aca="false">VLOOKUP(AB29,db_fifarank,2,0)/2000000</f>
        <v>0.00032</v>
      </c>
      <c r="AN29" s="42" t="n">
        <f aca="false">1000*AK29/AK30+100*AJ29+10*AF29/AF30+1*AL29/AL30+AM29</f>
        <v>518.50032</v>
      </c>
      <c r="AP29" s="44" t="n">
        <f aca="false">SUMPRODUCT(($S$7:$S$54=AB29&amp;"_win")*($U$7:$U$54))+SUMPRODUCT(($T$7:$T$54=AB29&amp;"_win")*($U$7:$U$54))</f>
        <v>0</v>
      </c>
      <c r="AQ29" s="44" t="n">
        <f aca="false">SUMPRODUCT(($S$7:$S$54=AB29&amp;"_draw")*($U$7:$U$54))+SUMPRODUCT(($T$7:$T$54=AB29&amp;"_draw")*($U$7:$U$54))</f>
        <v>0</v>
      </c>
      <c r="AR29" s="44" t="n">
        <f aca="false">SUMPRODUCT(($E$7:$E$54=AB29)*($U$7:$U$54)*($F$7:$F$54))+SUMPRODUCT(($H$7:$H$54=AB29)*($U$7:$U$54)*($G$7:$G$54))</f>
        <v>0</v>
      </c>
      <c r="AS29" s="44" t="n">
        <f aca="false">SUMPRODUCT(($E$7:$E$54=AB29)*($U$7:$U$54)*($G$7:$G$54))+SUMPRODUCT(($H$7:$H$54=AB29)*($U$7:$U$54)*($F$7:$F$54))</f>
        <v>0</v>
      </c>
      <c r="AT29" s="44" t="n">
        <f aca="false">AR29-AS29</f>
        <v>0</v>
      </c>
      <c r="AY29" s="70" t="str">
        <f aca="false">INDEX(T,24+MONTH(R61),lang) &amp; " " &amp; DAY(R61) &amp; ", " &amp; YEAR(R61) &amp; "   " &amp; TEXT(TIME(HOUR(R61),MINUTE(R61),0),"hh:mm")</f>
        <v>Jul 1, 2018   14:00</v>
      </c>
      <c r="AZ29" s="70"/>
      <c r="BA29" s="70"/>
      <c r="BB29" s="86"/>
      <c r="BC29" s="90"/>
      <c r="BD29" s="93"/>
      <c r="BE29" s="78"/>
      <c r="BF29" s="82" t="str">
        <f aca="false">T61</f>
        <v>W52</v>
      </c>
      <c r="BG29" s="83"/>
      <c r="BH29" s="84"/>
      <c r="BI29" s="85"/>
      <c r="BJ29" s="70"/>
      <c r="BK29" s="70"/>
      <c r="BL29" s="70"/>
      <c r="BM29" s="70"/>
      <c r="BN29" s="70"/>
      <c r="BO29" s="90"/>
      <c r="BP29" s="70"/>
      <c r="BQ29" s="70"/>
      <c r="BR29" s="70"/>
      <c r="BS29" s="70"/>
      <c r="BT29" s="70"/>
    </row>
    <row r="30" customFormat="false" ht="15" hidden="false" customHeight="true" outlineLevel="0" collapsed="false">
      <c r="A30" s="59" t="n">
        <v>24</v>
      </c>
      <c r="B30" s="60" t="str">
        <f aca="false">INDEX(T,18+INT(MOD(R30-1,7)),lang)</f>
        <v>Fri</v>
      </c>
      <c r="C30" s="61" t="str">
        <f aca="false">INDEX(T,24+MONTH(R30),lang) &amp; " " &amp; DAY(R30) &amp; ", " &amp; YEAR(R30)</f>
        <v>Jun 22, 2018</v>
      </c>
      <c r="D30" s="62" t="n">
        <f aca="false">TIME(HOUR(R30),MINUTE(R30),0)</f>
        <v>0.458333333333333</v>
      </c>
      <c r="E30" s="63" t="str">
        <f aca="false">AB29</f>
        <v>Nigeria</v>
      </c>
      <c r="F30" s="64" t="n">
        <v>2</v>
      </c>
      <c r="G30" s="65" t="n">
        <v>0</v>
      </c>
      <c r="H30" s="66" t="str">
        <f aca="false">AB27</f>
        <v>Islandia</v>
      </c>
      <c r="J30" s="87" t="str">
        <f aca="false">VLOOKUP(4,AA26:AK29,2,0)</f>
        <v>Islandia</v>
      </c>
      <c r="K30" s="88" t="n">
        <f aca="false">L30+M30+N30</f>
        <v>3</v>
      </c>
      <c r="L30" s="88" t="n">
        <f aca="false">VLOOKUP(4,AA26:AK29,3,0)</f>
        <v>0</v>
      </c>
      <c r="M30" s="88" t="n">
        <f aca="false">VLOOKUP(4,AA26:AK29,4,0)</f>
        <v>2</v>
      </c>
      <c r="N30" s="88" t="n">
        <f aca="false">VLOOKUP(4,AA26:AK29,5,0)</f>
        <v>1</v>
      </c>
      <c r="O30" s="88" t="str">
        <f aca="false">VLOOKUP(4,AA26:AK29,6,0) &amp; " - " &amp; VLOOKUP(4,AA26:AK29,7,0)</f>
        <v>2 - 4</v>
      </c>
      <c r="P30" s="89" t="n">
        <f aca="false">L30*3+M30</f>
        <v>2</v>
      </c>
      <c r="R30" s="40" t="n">
        <f aca="false">DATE(2018,6,22)+TIME(4,0,0)+gmt_delta</f>
        <v>43273.4583333333</v>
      </c>
      <c r="S30" s="41" t="str">
        <f aca="false">IF(OR(F30="",G30=""),"",IF(F30&gt;G30,E30&amp;"_win",IF(F30&lt;G30,E30&amp;"_lose",E30&amp;"_draw")))</f>
        <v>Nigeria_win</v>
      </c>
      <c r="T30" s="41" t="str">
        <f aca="false">IF(S30="","",IF(F30&lt;G30,H30&amp;"_win",IF(F30&gt;G30,H30&amp;"_lose",H30&amp;"_draw")))</f>
        <v>Islandia_lose</v>
      </c>
      <c r="U30" s="42" t="n">
        <f aca="false">IF(S30="",0,IF(VLOOKUP(E30,$AB$8:$AK$53,7,0)=VLOOKUP(H30,$AB$8:$AK$53,7,0),1,0))</f>
        <v>0</v>
      </c>
      <c r="V30" s="40" t="n">
        <f aca="false">U30*F30</f>
        <v>0</v>
      </c>
      <c r="W30" s="40" t="n">
        <f aca="false">U30*G30</f>
        <v>0</v>
      </c>
      <c r="X30" s="40" t="n">
        <f aca="false">IF(OR(E30=my_team,H30=my_team),1,0)</f>
        <v>0</v>
      </c>
      <c r="Y30" s="40" t="n">
        <f aca="false">IF(OR(F30="",G30=""),"",IF(F30&gt;G30,1,IF(F30&lt;G30,-1,0)))</f>
        <v>1</v>
      </c>
      <c r="AC30" s="40" t="n">
        <f aca="false">MAX(AC26:AC29)-MIN(AC26:AC29)+1</f>
        <v>3</v>
      </c>
      <c r="AD30" s="40" t="n">
        <f aca="false">MAX(AD26:AD29)-MIN(AD26:AD29)+1</f>
        <v>3</v>
      </c>
      <c r="AE30" s="40" t="n">
        <f aca="false">MAX(AE26:AE29)-MIN(AE26:AE29)+1</f>
        <v>3</v>
      </c>
      <c r="AF30" s="40" t="n">
        <f aca="false">MAX(AF26:AF29)-MIN(AF26:AF29)+1</f>
        <v>5</v>
      </c>
      <c r="AG30" s="40" t="n">
        <f aca="false">MAX(AG26:AG29)-MIN(AG26:AG29)+1</f>
        <v>5</v>
      </c>
      <c r="AH30" s="40" t="n">
        <f aca="false">MAX(AH26:AH29)-AH31+1</f>
        <v>50705</v>
      </c>
      <c r="AI30" s="40" t="n">
        <f aca="false">MAX(AI26:AI29)-AI31+1</f>
        <v>8</v>
      </c>
      <c r="AK30" s="40" t="n">
        <f aca="false">MAX(AK26:AK29)-MIN(AK26:AK29)+1</f>
        <v>6</v>
      </c>
      <c r="AL30" s="40" t="n">
        <f aca="false">MAX(AL26:AL29)-MIN(AL26:AL29)+1</f>
        <v>1</v>
      </c>
      <c r="AP30" s="40" t="n">
        <f aca="false">MAX(AP26:AP29)-MIN(AP26:AP29)+1</f>
        <v>1</v>
      </c>
      <c r="AQ30" s="40" t="n">
        <f aca="false">MAX(AQ26:AQ29)-MIN(AQ26:AQ29)+1</f>
        <v>1</v>
      </c>
      <c r="AR30" s="40" t="n">
        <f aca="false">MAX(AR26:AR29)-MIN(AR26:AR29)+1</f>
        <v>1</v>
      </c>
      <c r="AS30" s="40" t="n">
        <f aca="false">MAX(AS26:AS29)-MIN(AS26:AS29)+1</f>
        <v>1</v>
      </c>
      <c r="AT30" s="40" t="n">
        <f aca="false">MAX(AT26:AT29)-MIN(AT26:AT29)+1</f>
        <v>1</v>
      </c>
      <c r="AY30" s="78" t="n">
        <v>52</v>
      </c>
      <c r="AZ30" s="79" t="str">
        <f aca="false">AO26</f>
        <v>Croacia</v>
      </c>
      <c r="BA30" s="80"/>
      <c r="BB30" s="81"/>
      <c r="BC30" s="94"/>
      <c r="BD30" s="70"/>
      <c r="BE30" s="70"/>
      <c r="BF30" s="70"/>
      <c r="BG30" s="70"/>
      <c r="BH30" s="70"/>
      <c r="BI30" s="90"/>
      <c r="BJ30" s="70"/>
      <c r="BK30" s="70"/>
      <c r="BL30" s="70"/>
      <c r="BM30" s="70"/>
      <c r="BN30" s="70"/>
      <c r="BO30" s="90"/>
      <c r="BP30" s="70"/>
      <c r="BQ30" s="70"/>
      <c r="BR30" s="70"/>
      <c r="BS30" s="70"/>
      <c r="BT30" s="70"/>
    </row>
    <row r="31" customFormat="false" ht="15" hidden="false" customHeight="true" outlineLevel="0" collapsed="false">
      <c r="A31" s="59" t="n">
        <v>25</v>
      </c>
      <c r="B31" s="60" t="str">
        <f aca="false">INDEX(T,18+INT(MOD(R31-1,7)),lang)</f>
        <v>Fri</v>
      </c>
      <c r="C31" s="61" t="str">
        <f aca="false">INDEX(T,24+MONTH(R31),lang) &amp; " " &amp; DAY(R31) &amp; ", " &amp; YEAR(R31)</f>
        <v>Jun 22, 2018</v>
      </c>
      <c r="D31" s="62" t="n">
        <f aca="false">TIME(HOUR(R31),MINUTE(R31),0)</f>
        <v>0.333333333333333</v>
      </c>
      <c r="E31" s="63" t="str">
        <f aca="false">AB32</f>
        <v>Brasil</v>
      </c>
      <c r="F31" s="64" t="n">
        <v>2</v>
      </c>
      <c r="G31" s="65" t="n">
        <v>0</v>
      </c>
      <c r="H31" s="66" t="str">
        <f aca="false">AB34</f>
        <v>Costa Rica</v>
      </c>
      <c r="R31" s="40" t="n">
        <f aca="false">DATE(2018,6,22)+TIME(1,0,0)+gmt_delta</f>
        <v>43273.3333333333</v>
      </c>
      <c r="S31" s="41" t="str">
        <f aca="false">IF(OR(F31="",G31=""),"",IF(F31&gt;G31,E31&amp;"_win",IF(F31&lt;G31,E31&amp;"_lose",E31&amp;"_draw")))</f>
        <v>Brasil_win</v>
      </c>
      <c r="T31" s="41" t="str">
        <f aca="false">IF(S31="","",IF(F31&lt;G31,H31&amp;"_win",IF(F31&gt;G31,H31&amp;"_lose",H31&amp;"_draw")))</f>
        <v>Costa Rica_lose</v>
      </c>
      <c r="U31" s="42" t="n">
        <f aca="false">IF(S31="",0,IF(VLOOKUP(E31,$AB$8:$AK$53,7,0)=VLOOKUP(H31,$AB$8:$AK$53,7,0),1,0))</f>
        <v>0</v>
      </c>
      <c r="V31" s="40" t="n">
        <f aca="false">U31*F31</f>
        <v>0</v>
      </c>
      <c r="W31" s="40" t="n">
        <f aca="false">U31*G31</f>
        <v>0</v>
      </c>
      <c r="X31" s="40" t="n">
        <f aca="false">IF(OR(E31=my_team,H31=my_team),1,0)</f>
        <v>0</v>
      </c>
      <c r="Y31" s="40" t="n">
        <f aca="false">IF(OR(F31="",G31=""),"",IF(F31&gt;G31,1,IF(F31&lt;G31,-1,0)))</f>
        <v>1</v>
      </c>
      <c r="AH31" s="40" t="n">
        <f aca="false">MIN(AH26:AH29)</f>
        <v>19802</v>
      </c>
      <c r="AI31" s="40" t="n">
        <f aca="false">MIN(AI26:AI29)</f>
        <v>-2</v>
      </c>
      <c r="AY31" s="78"/>
      <c r="AZ31" s="82" t="str">
        <f aca="false">AO21</f>
        <v>Dinamarca</v>
      </c>
      <c r="BA31" s="83"/>
      <c r="BB31" s="84"/>
      <c r="BC31" s="70"/>
      <c r="BD31" s="70"/>
      <c r="BE31" s="70"/>
      <c r="BF31" s="70"/>
      <c r="BG31" s="70"/>
      <c r="BH31" s="70"/>
      <c r="BI31" s="90"/>
      <c r="BJ31" s="70"/>
      <c r="BK31" s="70" t="str">
        <f aca="false">INDEX(T,24+MONTH(R77),lang) &amp; " " &amp; DAY(R77) &amp; ", " &amp; YEAR(R77) &amp; "   " &amp; TEXT(TIME(HOUR(R77),MINUTE(R77),0),"hh:mm")</f>
        <v>Jul 11, 2018   14:00</v>
      </c>
      <c r="BL31" s="70"/>
      <c r="BM31" s="70"/>
      <c r="BN31" s="86"/>
      <c r="BO31" s="90"/>
      <c r="BP31" s="95"/>
      <c r="BQ31" s="98" t="str">
        <f aca="false">INDEX(T,7,lang)</f>
        <v>Tercer puesto</v>
      </c>
      <c r="BR31" s="98"/>
      <c r="BS31" s="98"/>
      <c r="BT31" s="98"/>
    </row>
    <row r="32" customFormat="false" ht="15" hidden="false" customHeight="true" outlineLevel="0" collapsed="false">
      <c r="A32" s="59" t="n">
        <v>26</v>
      </c>
      <c r="B32" s="60" t="str">
        <f aca="false">INDEX(T,18+INT(MOD(R32-1,7)),lang)</f>
        <v>Fri</v>
      </c>
      <c r="C32" s="61" t="str">
        <f aca="false">INDEX(T,24+MONTH(R32),lang) &amp; " " &amp; DAY(R32) &amp; ", " &amp; YEAR(R32)</f>
        <v>Jun 22, 2018</v>
      </c>
      <c r="D32" s="62" t="n">
        <f aca="false">TIME(HOUR(R32),MINUTE(R32),0)</f>
        <v>0.583333333333333</v>
      </c>
      <c r="E32" s="63" t="str">
        <f aca="false">AB35</f>
        <v>Serbia</v>
      </c>
      <c r="F32" s="64" t="n">
        <v>1</v>
      </c>
      <c r="G32" s="99" t="n">
        <v>2</v>
      </c>
      <c r="H32" s="66" t="str">
        <f aca="false">AB33</f>
        <v>Suiza</v>
      </c>
      <c r="J32" s="67" t="str">
        <f aca="false">INDEX(T,9,lang) &amp; " " &amp; "E"</f>
        <v>Grupo E</v>
      </c>
      <c r="K32" s="68" t="str">
        <f aca="false">INDEX(T,10,lang)</f>
        <v>J</v>
      </c>
      <c r="L32" s="68" t="str">
        <f aca="false">INDEX(T,11,lang)</f>
        <v>G</v>
      </c>
      <c r="M32" s="68" t="str">
        <f aca="false">INDEX(T,12,lang)</f>
        <v>DRAW</v>
      </c>
      <c r="N32" s="68" t="str">
        <f aca="false">INDEX(T,13,lang)</f>
        <v>P</v>
      </c>
      <c r="O32" s="68" t="str">
        <f aca="false">INDEX(T,14,lang)</f>
        <v>GF - GC</v>
      </c>
      <c r="P32" s="69" t="str">
        <f aca="false">INDEX(T,15,lang)</f>
        <v>PTS</v>
      </c>
      <c r="R32" s="40" t="n">
        <f aca="false">DATE(2018,6,22)+TIME(7,0,0)+gmt_delta</f>
        <v>43273.5833333333</v>
      </c>
      <c r="S32" s="41" t="str">
        <f aca="false">IF(OR(F32="",G32=""),"",IF(F32&gt;G32,E32&amp;"_win",IF(F32&lt;G32,E32&amp;"_lose",E32&amp;"_draw")))</f>
        <v>Serbia_lose</v>
      </c>
      <c r="T32" s="41" t="str">
        <f aca="false">IF(S32="","",IF(F32&lt;G32,H32&amp;"_win",IF(F32&gt;G32,H32&amp;"_lose",H32&amp;"_draw")))</f>
        <v>Suiza_win</v>
      </c>
      <c r="U32" s="42" t="n">
        <f aca="false">IF(S32="",0,IF(VLOOKUP(E32,$AB$8:$AK$53,7,0)=VLOOKUP(H32,$AB$8:$AK$53,7,0),1,0))</f>
        <v>0</v>
      </c>
      <c r="V32" s="40" t="n">
        <f aca="false">U32*F32</f>
        <v>0</v>
      </c>
      <c r="W32" s="40" t="n">
        <f aca="false">U32*G32</f>
        <v>0</v>
      </c>
      <c r="X32" s="40" t="n">
        <f aca="false">IF(OR(E32=my_team,H32=my_team),1,0)</f>
        <v>0</v>
      </c>
      <c r="Y32" s="40" t="n">
        <f aca="false">IF(OR(F32="",G32=""),"",IF(F32&gt;G32,1,IF(F32&lt;G32,-1,0)))</f>
        <v>-1</v>
      </c>
      <c r="AA32" s="40" t="n">
        <f aca="false">COUNTIF(AN32:AN35,CONCATENATE("&gt;=",AN32))</f>
        <v>1</v>
      </c>
      <c r="AB32" s="42" t="str">
        <f aca="false">VLOOKUP("Brazil",T,lang,0)</f>
        <v>Brasil</v>
      </c>
      <c r="AC32" s="40" t="n">
        <f aca="false">COUNTIF($S$7:$T$54,"=" &amp; AB32 &amp; "_win")</f>
        <v>2</v>
      </c>
      <c r="AD32" s="40" t="n">
        <f aca="false">COUNTIF($S$7:$T$54,"=" &amp; AB32 &amp; "_draw")</f>
        <v>1</v>
      </c>
      <c r="AE32" s="40" t="n">
        <f aca="false">COUNTIF($S$7:$T$54,"=" &amp; AB32 &amp; "_lose")</f>
        <v>0</v>
      </c>
      <c r="AF32" s="40" t="n">
        <f aca="false">SUMIF($E$7:$E$54,$AB32,$F$7:$F$54) + SUMIF($H$7:$H$54,$AB32,$G$7:$G$54)</f>
        <v>5</v>
      </c>
      <c r="AG32" s="40" t="n">
        <f aca="false">SUMIF($E$7:$E$54,$AB32,$G$7:$G$54) + SUMIF($H$7:$H$54,$AB32,$F$7:$F$54)</f>
        <v>1</v>
      </c>
      <c r="AH32" s="40" t="n">
        <f aca="false">(AF32-AG32)*100+AK32*10000+AF32</f>
        <v>70405</v>
      </c>
      <c r="AI32" s="40" t="n">
        <f aca="false">AF32-AG32</f>
        <v>4</v>
      </c>
      <c r="AJ32" s="40" t="n">
        <f aca="false">(AI32-AI37)/AI36</f>
        <v>0.875</v>
      </c>
      <c r="AK32" s="40" t="n">
        <f aca="false">AC32*3+AD32</f>
        <v>7</v>
      </c>
      <c r="AL32" s="40" t="n">
        <f aca="false">AP32/AP36*1000+AQ32/AQ36*100+AT32/AT36*10+AR32/AR36</f>
        <v>0</v>
      </c>
      <c r="AM32" s="40" t="n">
        <f aca="false">VLOOKUP(AB32,db_fifarank,2,0)/2000000</f>
        <v>0.0007415</v>
      </c>
      <c r="AN32" s="42" t="n">
        <f aca="false">1000*AK32/AK36+100*AJ32+10*AF32/AF36+1*AL32/AL36+AM32</f>
        <v>1097.5007415</v>
      </c>
      <c r="AO32" s="43" t="str">
        <f aca="false">IF(SUM(AC32:AE35)=12,J33,INDEX(T,78,lang))</f>
        <v>Brasil</v>
      </c>
      <c r="AP32" s="44" t="n">
        <f aca="false">SUMPRODUCT(($S$7:$S$54=AB32&amp;"_win")*($U$7:$U$54))+SUMPRODUCT(($T$7:$T$54=AB32&amp;"_win")*($U$7:$U$54))</f>
        <v>0</v>
      </c>
      <c r="AQ32" s="44" t="n">
        <f aca="false">SUMPRODUCT(($S$7:$S$54=AB32&amp;"_draw")*($U$7:$U$54))+SUMPRODUCT(($T$7:$T$54=AB32&amp;"_draw")*($U$7:$U$54))</f>
        <v>0</v>
      </c>
      <c r="AR32" s="44" t="n">
        <f aca="false">SUMPRODUCT(($E$7:$E$54=AB32)*($U$7:$U$54)*($F$7:$F$54))+SUMPRODUCT(($H$7:$H$54=AB32)*($U$7:$U$54)*($G$7:$G$54))</f>
        <v>0</v>
      </c>
      <c r="AS32" s="44" t="n">
        <f aca="false">SUMPRODUCT(($E$7:$E$54=AB32)*($U$7:$U$54)*($G$7:$G$54))+SUMPRODUCT(($H$7:$H$54=AB32)*($U$7:$U$54)*($F$7:$F$54))</f>
        <v>0</v>
      </c>
      <c r="AT32" s="44" t="n">
        <f aca="false">AR32-AS32</f>
        <v>0</v>
      </c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90"/>
      <c r="BJ32" s="70"/>
      <c r="BK32" s="78" t="n">
        <v>62</v>
      </c>
      <c r="BL32" s="79" t="str">
        <f aca="false">T71</f>
        <v>W59</v>
      </c>
      <c r="BM32" s="80"/>
      <c r="BN32" s="81"/>
      <c r="BO32" s="94"/>
      <c r="BP32" s="95"/>
      <c r="BQ32" s="98"/>
      <c r="BR32" s="98"/>
      <c r="BS32" s="98"/>
      <c r="BT32" s="98"/>
    </row>
    <row r="33" customFormat="false" ht="15" hidden="false" customHeight="true" outlineLevel="0" collapsed="false">
      <c r="A33" s="59" t="n">
        <v>27</v>
      </c>
      <c r="B33" s="60" t="str">
        <f aca="false">INDEX(T,18+INT(MOD(R33-1,7)),lang)</f>
        <v>Sat</v>
      </c>
      <c r="C33" s="61" t="str">
        <f aca="false">INDEX(T,24+MONTH(R33),lang) &amp; " " &amp; DAY(R33) &amp; ", " &amp; YEAR(R33)</f>
        <v>Jun 23, 2018</v>
      </c>
      <c r="D33" s="62" t="n">
        <f aca="false">TIME(HOUR(R33),MINUTE(R33),0)</f>
        <v>0.583333333333333</v>
      </c>
      <c r="E33" s="63" t="str">
        <f aca="false">AB38</f>
        <v>Alemania</v>
      </c>
      <c r="F33" s="64" t="n">
        <v>2</v>
      </c>
      <c r="G33" s="65" t="n">
        <v>1</v>
      </c>
      <c r="H33" s="66" t="str">
        <f aca="false">AB40</f>
        <v>Suecia</v>
      </c>
      <c r="J33" s="71" t="str">
        <f aca="false">VLOOKUP(1,AA32:AK35,2,0)</f>
        <v>Brasil</v>
      </c>
      <c r="K33" s="72" t="n">
        <f aca="false">L33+M33+N33</f>
        <v>3</v>
      </c>
      <c r="L33" s="72" t="n">
        <f aca="false">VLOOKUP(1,AA32:AK35,3,0)</f>
        <v>2</v>
      </c>
      <c r="M33" s="72" t="n">
        <f aca="false">VLOOKUP(1,AA32:AK35,4,0)</f>
        <v>1</v>
      </c>
      <c r="N33" s="72" t="n">
        <f aca="false">VLOOKUP(1,AA32:AK35,5,0)</f>
        <v>0</v>
      </c>
      <c r="O33" s="72" t="str">
        <f aca="false">VLOOKUP(1,AA32:AK35,6,0) &amp; " - " &amp; VLOOKUP(1,AA32:AK35,7,0)</f>
        <v>5 - 1</v>
      </c>
      <c r="P33" s="73" t="n">
        <f aca="false">L33*3+M33</f>
        <v>7</v>
      </c>
      <c r="R33" s="40" t="n">
        <f aca="false">DATE(2018,6,23)+TIME(7,0,0)+gmt_delta</f>
        <v>43274.5833333333</v>
      </c>
      <c r="S33" s="41" t="str">
        <f aca="false">IF(OR(F33="",G33=""),"",IF(F33&gt;G33,E33&amp;"_win",IF(F33&lt;G33,E33&amp;"_lose",E33&amp;"_draw")))</f>
        <v>Alemania_win</v>
      </c>
      <c r="T33" s="41" t="str">
        <f aca="false">IF(S33="","",IF(F33&lt;G33,H33&amp;"_win",IF(F33&gt;G33,H33&amp;"_lose",H33&amp;"_draw")))</f>
        <v>Suecia_lose</v>
      </c>
      <c r="U33" s="42" t="n">
        <f aca="false">IF(S33="",0,IF(VLOOKUP(E33,$AB$8:$AK$53,7,0)=VLOOKUP(H33,$AB$8:$AK$53,7,0),1,0))</f>
        <v>0</v>
      </c>
      <c r="V33" s="40" t="n">
        <f aca="false">U33*F33</f>
        <v>0</v>
      </c>
      <c r="W33" s="40" t="n">
        <f aca="false">U33*G33</f>
        <v>0</v>
      </c>
      <c r="X33" s="40" t="n">
        <f aca="false">IF(OR(E33=my_team,H33=my_team),1,0)</f>
        <v>1</v>
      </c>
      <c r="Y33" s="40" t="n">
        <f aca="false">IF(OR(F33="",G33=""),"",IF(F33&gt;G33,1,IF(F33&lt;G33,-1,0)))</f>
        <v>1</v>
      </c>
      <c r="AA33" s="40" t="n">
        <f aca="false">COUNTIF(AN32:AN35,CONCATENATE("&gt;=",AN33))</f>
        <v>2</v>
      </c>
      <c r="AB33" s="42" t="str">
        <f aca="false">VLOOKUP("Switzerland",T,lang,0)</f>
        <v>Suiza</v>
      </c>
      <c r="AC33" s="40" t="n">
        <f aca="false">COUNTIF($S$7:$T$54,"=" &amp; AB33 &amp; "_win")</f>
        <v>1</v>
      </c>
      <c r="AD33" s="40" t="n">
        <f aca="false">COUNTIF($S$7:$T$54,"=" &amp; AB33 &amp; "_draw")</f>
        <v>2</v>
      </c>
      <c r="AE33" s="40" t="n">
        <f aca="false">COUNTIF($S$7:$T$54,"=" &amp; AB33 &amp; "_lose")</f>
        <v>0</v>
      </c>
      <c r="AF33" s="40" t="n">
        <f aca="false">SUMIF($E$7:$E$54,$AB33,$F$7:$F$54) + SUMIF($H$7:$H$54,$AB33,$G$7:$G$54)</f>
        <v>4</v>
      </c>
      <c r="AG33" s="40" t="n">
        <f aca="false">SUMIF($E$7:$E$54,$AB33,$G$7:$G$54) + SUMIF($H$7:$H$54,$AB33,$F$7:$F$54)</f>
        <v>3</v>
      </c>
      <c r="AH33" s="40" t="n">
        <f aca="false">(AF33-AG33)*100+AK33*10000+AF33</f>
        <v>50104</v>
      </c>
      <c r="AI33" s="40" t="n">
        <f aca="false">AF33-AG33</f>
        <v>1</v>
      </c>
      <c r="AJ33" s="40" t="n">
        <f aca="false">(AI33-AI37)/AI36</f>
        <v>0.5</v>
      </c>
      <c r="AK33" s="40" t="n">
        <f aca="false">AC33*3+AD33</f>
        <v>5</v>
      </c>
      <c r="AL33" s="40" t="n">
        <f aca="false">AP33/AP36*1000+AQ33/AQ36*100+AT33/AT36*10+AR33/AR36</f>
        <v>0</v>
      </c>
      <c r="AM33" s="40" t="n">
        <f aca="false">VLOOKUP(AB33,db_fifarank,2,0)/2000000</f>
        <v>0.000595</v>
      </c>
      <c r="AN33" s="42" t="n">
        <f aca="false">1000*AK33/AK36+100*AJ33+10*AF33/AF36+1*AL33/AL36+AM33</f>
        <v>772.286309285714</v>
      </c>
      <c r="AO33" s="43" t="str">
        <f aca="false">IF(SUM(AC32:AE35)=12,J34,INDEX(T,79,lang))</f>
        <v>Suiza</v>
      </c>
      <c r="AP33" s="44" t="n">
        <f aca="false">SUMPRODUCT(($S$7:$S$54=AB33&amp;"_win")*($U$7:$U$54))+SUMPRODUCT(($T$7:$T$54=AB33&amp;"_win")*($U$7:$U$54))</f>
        <v>0</v>
      </c>
      <c r="AQ33" s="44" t="n">
        <f aca="false">SUMPRODUCT(($S$7:$S$54=AB33&amp;"_draw")*($U$7:$U$54))+SUMPRODUCT(($T$7:$T$54=AB33&amp;"_draw")*($U$7:$U$54))</f>
        <v>0</v>
      </c>
      <c r="AR33" s="44" t="n">
        <f aca="false">SUMPRODUCT(($E$7:$E$54=AB33)*($U$7:$U$54)*($F$7:$F$54))+SUMPRODUCT(($H$7:$H$54=AB33)*($U$7:$U$54)*($G$7:$G$54))</f>
        <v>0</v>
      </c>
      <c r="AS33" s="44" t="n">
        <f aca="false">SUMPRODUCT(($E$7:$E$54=AB33)*($U$7:$U$54)*($G$7:$G$54))+SUMPRODUCT(($H$7:$H$54=AB33)*($U$7:$U$54)*($F$7:$F$54))</f>
        <v>0</v>
      </c>
      <c r="AT33" s="44" t="n">
        <f aca="false">AR33-AS33</f>
        <v>0</v>
      </c>
      <c r="AY33" s="70" t="str">
        <f aca="false">INDEX(T,24+MONTH(R64),lang) &amp; " " &amp; DAY(R64) &amp; ", " &amp; YEAR(R64) &amp; "   " &amp; TEXT(TIME(HOUR(R64),MINUTE(R64),0),"hh:mm")</f>
        <v>Jul 3, 2018   10:00</v>
      </c>
      <c r="AZ33" s="70"/>
      <c r="BA33" s="70"/>
      <c r="BB33" s="86"/>
      <c r="BC33" s="70"/>
      <c r="BD33" s="70"/>
      <c r="BE33" s="70"/>
      <c r="BF33" s="70"/>
      <c r="BG33" s="70"/>
      <c r="BH33" s="70"/>
      <c r="BI33" s="90"/>
      <c r="BJ33" s="93"/>
      <c r="BK33" s="78"/>
      <c r="BL33" s="82" t="str">
        <f aca="false">T72</f>
        <v>W60</v>
      </c>
      <c r="BM33" s="83"/>
      <c r="BN33" s="84"/>
      <c r="BO33" s="95"/>
      <c r="BP33" s="95"/>
      <c r="BQ33" s="70"/>
      <c r="BR33" s="70"/>
      <c r="BS33" s="70"/>
      <c r="BT33" s="70"/>
    </row>
    <row r="34" customFormat="false" ht="15" hidden="false" customHeight="true" outlineLevel="0" collapsed="false">
      <c r="A34" s="59" t="n">
        <v>28</v>
      </c>
      <c r="B34" s="60" t="str">
        <f aca="false">INDEX(T,18+INT(MOD(R34-1,7)),lang)</f>
        <v>Sat</v>
      </c>
      <c r="C34" s="61" t="str">
        <f aca="false">INDEX(T,24+MONTH(R34),lang) &amp; " " &amp; DAY(R34) &amp; ", " &amp; YEAR(R34)</f>
        <v>Jun 23, 2018</v>
      </c>
      <c r="D34" s="62" t="n">
        <f aca="false">TIME(HOUR(R34),MINUTE(R34),0)</f>
        <v>0.458333333333333</v>
      </c>
      <c r="E34" s="63" t="str">
        <f aca="false">AB41</f>
        <v>República de Corea</v>
      </c>
      <c r="F34" s="64" t="n">
        <v>1</v>
      </c>
      <c r="G34" s="65" t="n">
        <v>2</v>
      </c>
      <c r="H34" s="66" t="str">
        <f aca="false">AB39</f>
        <v>México</v>
      </c>
      <c r="J34" s="75" t="str">
        <f aca="false">VLOOKUP(2,AA32:AK35,2,0)</f>
        <v>Suiza</v>
      </c>
      <c r="K34" s="76" t="n">
        <f aca="false">L34+M34+N34</f>
        <v>3</v>
      </c>
      <c r="L34" s="76" t="n">
        <f aca="false">VLOOKUP(2,AA32:AK35,3,0)</f>
        <v>1</v>
      </c>
      <c r="M34" s="76" t="n">
        <f aca="false">VLOOKUP(2,AA32:AK35,4,0)</f>
        <v>2</v>
      </c>
      <c r="N34" s="76" t="n">
        <f aca="false">VLOOKUP(2,AA32:AK35,5,0)</f>
        <v>0</v>
      </c>
      <c r="O34" s="76" t="str">
        <f aca="false">VLOOKUP(2,AA32:AK35,6,0) &amp; " - " &amp; VLOOKUP(2,AA32:AK35,7,0)</f>
        <v>4 - 3</v>
      </c>
      <c r="P34" s="77" t="n">
        <f aca="false">L34*3+M34</f>
        <v>5</v>
      </c>
      <c r="R34" s="40" t="n">
        <f aca="false">DATE(2018,6,23)+TIME(4,0,0)+gmt_delta</f>
        <v>43274.4583333333</v>
      </c>
      <c r="S34" s="41" t="str">
        <f aca="false">IF(OR(F34="",G34=""),"",IF(F34&gt;G34,E34&amp;"_win",IF(F34&lt;G34,E34&amp;"_lose",E34&amp;"_draw")))</f>
        <v>República de Corea_lose</v>
      </c>
      <c r="T34" s="41" t="str">
        <f aca="false">IF(S34="","",IF(F34&lt;G34,H34&amp;"_win",IF(F34&gt;G34,H34&amp;"_lose",H34&amp;"_draw")))</f>
        <v>México_win</v>
      </c>
      <c r="U34" s="42" t="n">
        <f aca="false">IF(S34="",0,IF(VLOOKUP(E34,$AB$8:$AK$53,7,0)=VLOOKUP(H34,$AB$8:$AK$53,7,0),1,0))</f>
        <v>0</v>
      </c>
      <c r="V34" s="40" t="n">
        <f aca="false">U34*F34</f>
        <v>0</v>
      </c>
      <c r="W34" s="40" t="n">
        <f aca="false">U34*G34</f>
        <v>0</v>
      </c>
      <c r="X34" s="40" t="n">
        <f aca="false">IF(OR(E34=my_team,H34=my_team),1,0)</f>
        <v>0</v>
      </c>
      <c r="Y34" s="40" t="n">
        <f aca="false">IF(OR(F34="",G34=""),"",IF(F34&gt;G34,1,IF(F34&lt;G34,-1,0)))</f>
        <v>-1</v>
      </c>
      <c r="AA34" s="40" t="n">
        <f aca="false">COUNTIF(AN32:AN35,CONCATENATE("&gt;=",AN34))</f>
        <v>4</v>
      </c>
      <c r="AB34" s="42" t="str">
        <f aca="false">VLOOKUP("Costa Rica",T,lang,0)</f>
        <v>Costa Rica</v>
      </c>
      <c r="AC34" s="40" t="n">
        <f aca="false">COUNTIF($S$7:$T$54,"=" &amp; AB34 &amp; "_win")</f>
        <v>0</v>
      </c>
      <c r="AD34" s="40" t="n">
        <f aca="false">COUNTIF($S$7:$T$54,"=" &amp; AB34 &amp; "_draw")</f>
        <v>1</v>
      </c>
      <c r="AE34" s="40" t="n">
        <f aca="false">COUNTIF($S$7:$T$54,"=" &amp; AB34 &amp; "_lose")</f>
        <v>2</v>
      </c>
      <c r="AF34" s="40" t="n">
        <f aca="false">SUMIF($E$7:$E$54,$AB34,$F$7:$F$54) + SUMIF($H$7:$H$54,$AB34,$G$7:$G$54)</f>
        <v>1</v>
      </c>
      <c r="AG34" s="40" t="n">
        <f aca="false">SUMIF($E$7:$E$54,$AB34,$G$7:$G$54) + SUMIF($H$7:$H$54,$AB34,$F$7:$F$54)</f>
        <v>4</v>
      </c>
      <c r="AH34" s="40" t="n">
        <f aca="false">(AF34-AG34)*100+AK34*10000+AF34</f>
        <v>9701</v>
      </c>
      <c r="AI34" s="40" t="n">
        <f aca="false">AF34-AG34</f>
        <v>-3</v>
      </c>
      <c r="AJ34" s="40" t="n">
        <f aca="false">(AI34-AI37)/AI36</f>
        <v>0</v>
      </c>
      <c r="AK34" s="40" t="n">
        <f aca="false">AC34*3+AD34</f>
        <v>1</v>
      </c>
      <c r="AL34" s="40" t="n">
        <f aca="false">AP34/AP36*1000+AQ34/AQ36*100+AT34/AT36*10+AR34/AR36</f>
        <v>0</v>
      </c>
      <c r="AM34" s="40" t="n">
        <f aca="false">VLOOKUP(AB34,db_fifarank,2,0)/2000000</f>
        <v>0.000425</v>
      </c>
      <c r="AN34" s="42" t="n">
        <f aca="false">1000*AK34/AK36+100*AJ34+10*AF34/AF36+1*AL34/AL36+AM34</f>
        <v>144.857567857143</v>
      </c>
      <c r="AP34" s="44" t="n">
        <f aca="false">SUMPRODUCT(($S$7:$S$54=AB34&amp;"_win")*($U$7:$U$54))+SUMPRODUCT(($T$7:$T$54=AB34&amp;"_win")*($U$7:$U$54))</f>
        <v>0</v>
      </c>
      <c r="AQ34" s="44" t="n">
        <f aca="false">SUMPRODUCT(($S$7:$S$54=AB34&amp;"_draw")*($U$7:$U$54))+SUMPRODUCT(($T$7:$T$54=AB34&amp;"_draw")*($U$7:$U$54))</f>
        <v>0</v>
      </c>
      <c r="AR34" s="44" t="n">
        <f aca="false">SUMPRODUCT(($E$7:$E$54=AB34)*($U$7:$U$54)*($F$7:$F$54))+SUMPRODUCT(($H$7:$H$54=AB34)*($U$7:$U$54)*($G$7:$G$54))</f>
        <v>0</v>
      </c>
      <c r="AS34" s="44" t="n">
        <f aca="false">SUMPRODUCT(($E$7:$E$54=AB34)*($U$7:$U$54)*($G$7:$G$54))+SUMPRODUCT(($H$7:$H$54=AB34)*($U$7:$U$54)*($F$7:$F$54))</f>
        <v>0</v>
      </c>
      <c r="AT34" s="44" t="n">
        <f aca="false">AR34-AS34</f>
        <v>0</v>
      </c>
      <c r="AY34" s="78" t="n">
        <v>55</v>
      </c>
      <c r="AZ34" s="79" t="str">
        <f aca="false">AO38</f>
        <v>Suecia</v>
      </c>
      <c r="BA34" s="80"/>
      <c r="BB34" s="81"/>
      <c r="BC34" s="70"/>
      <c r="BD34" s="70"/>
      <c r="BE34" s="70"/>
      <c r="BF34" s="70"/>
      <c r="BG34" s="70"/>
      <c r="BH34" s="70"/>
      <c r="BI34" s="90"/>
      <c r="BJ34" s="70"/>
      <c r="BK34" s="70"/>
      <c r="BL34" s="70"/>
      <c r="BM34" s="70"/>
      <c r="BN34" s="70"/>
      <c r="BO34" s="70"/>
      <c r="BP34" s="70"/>
      <c r="BQ34" s="70" t="str">
        <f aca="false">INDEX(T,24+MONTH(R81),lang) &amp; " " &amp; DAY(R81) &amp; ", " &amp; YEAR(R81) &amp; "   " &amp; TEXT(TIME(HOUR(R81),MINUTE(R81),0),"hh:mm")</f>
        <v>Jul 14, 2018   10:00</v>
      </c>
      <c r="BR34" s="70"/>
      <c r="BS34" s="70"/>
      <c r="BT34" s="86"/>
    </row>
    <row r="35" customFormat="false" ht="15" hidden="false" customHeight="true" outlineLevel="0" collapsed="false">
      <c r="A35" s="59" t="n">
        <v>29</v>
      </c>
      <c r="B35" s="60" t="str">
        <f aca="false">INDEX(T,18+INT(MOD(R35-1,7)),lang)</f>
        <v>Sat</v>
      </c>
      <c r="C35" s="61" t="str">
        <f aca="false">INDEX(T,24+MONTH(R35),lang) &amp; " " &amp; DAY(R35) &amp; ", " &amp; YEAR(R35)</f>
        <v>Jun 23, 2018</v>
      </c>
      <c r="D35" s="62" t="n">
        <f aca="false">TIME(HOUR(R35),MINUTE(R35),0)</f>
        <v>0.333333333333333</v>
      </c>
      <c r="E35" s="63" t="str">
        <f aca="false">AB44</f>
        <v>Bélgica</v>
      </c>
      <c r="F35" s="64" t="n">
        <v>5</v>
      </c>
      <c r="G35" s="65" t="n">
        <v>2</v>
      </c>
      <c r="H35" s="66" t="str">
        <f aca="false">AB46</f>
        <v>Túnez</v>
      </c>
      <c r="J35" s="75" t="str">
        <f aca="false">VLOOKUP(3,AA32:AK35,2,0)</f>
        <v>Serbia</v>
      </c>
      <c r="K35" s="76" t="n">
        <f aca="false">L35+M35+N35</f>
        <v>3</v>
      </c>
      <c r="L35" s="76" t="n">
        <f aca="false">VLOOKUP(3,AA32:AK35,3,0)</f>
        <v>1</v>
      </c>
      <c r="M35" s="76" t="n">
        <f aca="false">VLOOKUP(3,AA32:AK35,4,0)</f>
        <v>0</v>
      </c>
      <c r="N35" s="76" t="n">
        <f aca="false">VLOOKUP(3,AA32:AK35,5,0)</f>
        <v>2</v>
      </c>
      <c r="O35" s="76" t="str">
        <f aca="false">VLOOKUP(3,AA32:AK35,6,0) &amp; " - " &amp; VLOOKUP(3,AA32:AK35,7,0)</f>
        <v>2 - 4</v>
      </c>
      <c r="P35" s="77" t="n">
        <f aca="false">L35*3+M35</f>
        <v>3</v>
      </c>
      <c r="R35" s="40" t="n">
        <f aca="false">DATE(2018,6,23)+TIME(1,0,0)+gmt_delta</f>
        <v>43274.3333333333</v>
      </c>
      <c r="S35" s="41" t="str">
        <f aca="false">IF(OR(F35="",G35=""),"",IF(F35&gt;G35,E35&amp;"_win",IF(F35&lt;G35,E35&amp;"_lose",E35&amp;"_draw")))</f>
        <v>Bélgica_win</v>
      </c>
      <c r="T35" s="41" t="str">
        <f aca="false">IF(S35="","",IF(F35&lt;G35,H35&amp;"_win",IF(F35&gt;G35,H35&amp;"_lose",H35&amp;"_draw")))</f>
        <v>Túnez_lose</v>
      </c>
      <c r="U35" s="42" t="n">
        <f aca="false">IF(S35="",0,IF(VLOOKUP(E35,$AB$8:$AK$53,7,0)=VLOOKUP(H35,$AB$8:$AK$53,7,0),1,0))</f>
        <v>0</v>
      </c>
      <c r="V35" s="40" t="n">
        <f aca="false">U35*F35</f>
        <v>0</v>
      </c>
      <c r="W35" s="40" t="n">
        <f aca="false">U35*G35</f>
        <v>0</v>
      </c>
      <c r="X35" s="40" t="n">
        <f aca="false">IF(OR(E35=my_team,H35=my_team),1,0)</f>
        <v>0</v>
      </c>
      <c r="Y35" s="40" t="n">
        <f aca="false">IF(OR(F35="",G35=""),"",IF(F35&gt;G35,1,IF(F35&lt;G35,-1,0)))</f>
        <v>1</v>
      </c>
      <c r="AA35" s="40" t="n">
        <f aca="false">COUNTIF(AN32:AN35,CONCATENATE("&gt;=",AN35))</f>
        <v>3</v>
      </c>
      <c r="AB35" s="42" t="str">
        <f aca="false">VLOOKUP("Serbia",T,lang,0)</f>
        <v>Serbia</v>
      </c>
      <c r="AC35" s="40" t="n">
        <f aca="false">COUNTIF($S$7:$T$54,"=" &amp; AB35 &amp; "_win")</f>
        <v>1</v>
      </c>
      <c r="AD35" s="40" t="n">
        <f aca="false">COUNTIF($S$7:$T$54,"=" &amp; AB35 &amp; "_draw")</f>
        <v>0</v>
      </c>
      <c r="AE35" s="40" t="n">
        <f aca="false">COUNTIF($S$7:$T$54,"=" &amp; AB35 &amp; "_lose")</f>
        <v>2</v>
      </c>
      <c r="AF35" s="40" t="n">
        <f aca="false">SUMIF($E$7:$E$54,$AB35,$F$7:$F$54) + SUMIF($H$7:$H$54,$AB35,$G$7:$G$54)</f>
        <v>2</v>
      </c>
      <c r="AG35" s="40" t="n">
        <f aca="false">SUMIF($E$7:$E$54,$AB35,$G$7:$G$54) + SUMIF($H$7:$H$54,$AB35,$F$7:$F$54)</f>
        <v>4</v>
      </c>
      <c r="AH35" s="40" t="n">
        <f aca="false">(AF35-AG35)*100+AK35*10000+AF35</f>
        <v>29802</v>
      </c>
      <c r="AI35" s="40" t="n">
        <f aca="false">AF35-AG35</f>
        <v>-2</v>
      </c>
      <c r="AJ35" s="40" t="n">
        <f aca="false">(AI35-AI37)/AI36</f>
        <v>0.125</v>
      </c>
      <c r="AK35" s="40" t="n">
        <f aca="false">AC35*3+AD35</f>
        <v>3</v>
      </c>
      <c r="AL35" s="40" t="n">
        <f aca="false">AP35/AP36*1000+AQ35/AQ36*100+AT35/AT36*10+AR35/AR36</f>
        <v>0</v>
      </c>
      <c r="AM35" s="40" t="n">
        <f aca="false">VLOOKUP(AB35,db_fifarank,2,0)/2000000</f>
        <v>0.000378</v>
      </c>
      <c r="AN35" s="42" t="n">
        <f aca="false">1000*AK35/AK36+100*AJ35+10*AF35/AF36+1*AL35/AL36+AM35</f>
        <v>445.071806571429</v>
      </c>
      <c r="AP35" s="44" t="n">
        <f aca="false">SUMPRODUCT(($S$7:$S$54=AB35&amp;"_win")*($U$7:$U$54))+SUMPRODUCT(($T$7:$T$54=AB35&amp;"_win")*($U$7:$U$54))</f>
        <v>0</v>
      </c>
      <c r="AQ35" s="44" t="n">
        <f aca="false">SUMPRODUCT(($S$7:$S$54=AB35&amp;"_draw")*($U$7:$U$54))+SUMPRODUCT(($T$7:$T$54=AB35&amp;"_draw")*($U$7:$U$54))</f>
        <v>0</v>
      </c>
      <c r="AR35" s="44" t="n">
        <f aca="false">SUMPRODUCT(($E$7:$E$54=AB35)*($U$7:$U$54)*($F$7:$F$54))+SUMPRODUCT(($H$7:$H$54=AB35)*($U$7:$U$54)*($G$7:$G$54))</f>
        <v>0</v>
      </c>
      <c r="AS35" s="44" t="n">
        <f aca="false">SUMPRODUCT(($E$7:$E$54=AB35)*($U$7:$U$54)*($G$7:$G$54))+SUMPRODUCT(($H$7:$H$54=AB35)*($U$7:$U$54)*($F$7:$F$54))</f>
        <v>0</v>
      </c>
      <c r="AT35" s="44" t="n">
        <f aca="false">AR35-AS35</f>
        <v>0</v>
      </c>
      <c r="AY35" s="78"/>
      <c r="AZ35" s="82" t="str">
        <f aca="false">AO33</f>
        <v>Suiza</v>
      </c>
      <c r="BA35" s="83"/>
      <c r="BB35" s="84"/>
      <c r="BC35" s="85"/>
      <c r="BD35" s="70"/>
      <c r="BE35" s="70" t="str">
        <f aca="false">INDEX(T,24+MONTH(R72),lang) &amp; " " &amp; DAY(R72) &amp; ", " &amp; YEAR(R72) &amp; "   " &amp; TEXT(TIME(HOUR(R72),MINUTE(R72),0),"hh:mm")</f>
        <v>Jul 7, 2018   14:00</v>
      </c>
      <c r="BF35" s="70"/>
      <c r="BG35" s="70"/>
      <c r="BH35" s="86"/>
      <c r="BI35" s="90"/>
      <c r="BJ35" s="70"/>
      <c r="BK35" s="70"/>
      <c r="BL35" s="70"/>
      <c r="BM35" s="70"/>
      <c r="BN35" s="70"/>
      <c r="BO35" s="70"/>
      <c r="BP35" s="70"/>
      <c r="BQ35" s="78" t="n">
        <v>63</v>
      </c>
      <c r="BR35" s="79" t="str">
        <f aca="false">Z76</f>
        <v>L61</v>
      </c>
      <c r="BS35" s="80"/>
      <c r="BT35" s="81"/>
    </row>
    <row r="36" customFormat="false" ht="15" hidden="false" customHeight="true" outlineLevel="0" collapsed="false">
      <c r="A36" s="59" t="n">
        <v>30</v>
      </c>
      <c r="B36" s="60" t="str">
        <f aca="false">INDEX(T,18+INT(MOD(R36-1,7)),lang)</f>
        <v>Sun</v>
      </c>
      <c r="C36" s="61" t="str">
        <f aca="false">INDEX(T,24+MONTH(R36),lang) &amp; " " &amp; DAY(R36) &amp; ", " &amp; YEAR(R36)</f>
        <v>Jun 24, 2018</v>
      </c>
      <c r="D36" s="62" t="n">
        <f aca="false">TIME(HOUR(R36),MINUTE(R36),0)</f>
        <v>0.333333333333333</v>
      </c>
      <c r="E36" s="63" t="str">
        <f aca="false">AB47</f>
        <v>Inglaterra</v>
      </c>
      <c r="F36" s="64" t="n">
        <v>6</v>
      </c>
      <c r="G36" s="65" t="n">
        <v>1</v>
      </c>
      <c r="H36" s="66" t="str">
        <f aca="false">AB45</f>
        <v>Panamá</v>
      </c>
      <c r="J36" s="87" t="str">
        <f aca="false">VLOOKUP(4,AA32:AK35,2,0)</f>
        <v>Costa Rica</v>
      </c>
      <c r="K36" s="88" t="n">
        <f aca="false">L36+M36+N36</f>
        <v>3</v>
      </c>
      <c r="L36" s="88" t="n">
        <f aca="false">VLOOKUP(4,AA32:AK35,3,0)</f>
        <v>0</v>
      </c>
      <c r="M36" s="88" t="n">
        <f aca="false">VLOOKUP(4,AA32:AK35,4,0)</f>
        <v>1</v>
      </c>
      <c r="N36" s="88" t="n">
        <f aca="false">VLOOKUP(4,AA32:AK35,5,0)</f>
        <v>2</v>
      </c>
      <c r="O36" s="88" t="str">
        <f aca="false">VLOOKUP(4,AA32:AK35,6,0) &amp; " - " &amp; VLOOKUP(4,AA32:AK35,7,0)</f>
        <v>1 - 4</v>
      </c>
      <c r="P36" s="89" t="n">
        <f aca="false">L36*3+M36</f>
        <v>1</v>
      </c>
      <c r="R36" s="40" t="n">
        <f aca="false">DATE(2018,6,24)+TIME(1,0,0)+gmt_delta</f>
        <v>43275.3333333333</v>
      </c>
      <c r="S36" s="41" t="str">
        <f aca="false">IF(OR(F36="",G36=""),"",IF(F36&gt;G36,E36&amp;"_win",IF(F36&lt;G36,E36&amp;"_lose",E36&amp;"_draw")))</f>
        <v>Inglaterra_win</v>
      </c>
      <c r="T36" s="41" t="str">
        <f aca="false">IF(S36="","",IF(F36&lt;G36,H36&amp;"_win",IF(F36&gt;G36,H36&amp;"_lose",H36&amp;"_draw")))</f>
        <v>Panamá_lose</v>
      </c>
      <c r="U36" s="42" t="n">
        <f aca="false">IF(S36="",0,IF(VLOOKUP(E36,$AB$8:$AK$53,7,0)=VLOOKUP(H36,$AB$8:$AK$53,7,0),1,0))</f>
        <v>0</v>
      </c>
      <c r="V36" s="40" t="n">
        <f aca="false">U36*F36</f>
        <v>0</v>
      </c>
      <c r="W36" s="40" t="n">
        <f aca="false">U36*G36</f>
        <v>0</v>
      </c>
      <c r="X36" s="40" t="n">
        <f aca="false">IF(OR(E36=my_team,H36=my_team),1,0)</f>
        <v>0</v>
      </c>
      <c r="Y36" s="40" t="n">
        <f aca="false">IF(OR(F36="",G36=""),"",IF(F36&gt;G36,1,IF(F36&lt;G36,-1,0)))</f>
        <v>1</v>
      </c>
      <c r="AC36" s="40" t="n">
        <f aca="false">MAX(AC32:AC35)-MIN(AC32:AC35)+1</f>
        <v>3</v>
      </c>
      <c r="AD36" s="40" t="n">
        <f aca="false">MAX(AD32:AD35)-MIN(AD32:AD35)+1</f>
        <v>3</v>
      </c>
      <c r="AE36" s="40" t="n">
        <f aca="false">MAX(AE32:AE35)-MIN(AE32:AE35)+1</f>
        <v>3</v>
      </c>
      <c r="AF36" s="40" t="n">
        <f aca="false">MAX(AF32:AF35)-MIN(AF32:AF35)+1</f>
        <v>5</v>
      </c>
      <c r="AG36" s="40" t="n">
        <f aca="false">MAX(AG32:AG35)-MIN(AG32:AG35)+1</f>
        <v>4</v>
      </c>
      <c r="AH36" s="40" t="n">
        <f aca="false">MAX(AH32:AH35)-AH37+1</f>
        <v>60705</v>
      </c>
      <c r="AI36" s="40" t="n">
        <f aca="false">MAX(AI32:AI35)-AI37+1</f>
        <v>8</v>
      </c>
      <c r="AK36" s="40" t="n">
        <f aca="false">MAX(AK32:AK35)-MIN(AK32:AK35)+1</f>
        <v>7</v>
      </c>
      <c r="AL36" s="40" t="n">
        <f aca="false">MAX(AL32:AL35)-MIN(AL32:AL35)+1</f>
        <v>1</v>
      </c>
      <c r="AP36" s="40" t="n">
        <f aca="false">MAX(AP32:AP35)-MIN(AP32:AP35)+1</f>
        <v>1</v>
      </c>
      <c r="AQ36" s="40" t="n">
        <f aca="false">MAX(AQ32:AQ35)-MIN(AQ32:AQ35)+1</f>
        <v>1</v>
      </c>
      <c r="AR36" s="40" t="n">
        <f aca="false">MAX(AR32:AR35)-MIN(AR32:AR35)+1</f>
        <v>1</v>
      </c>
      <c r="AS36" s="40" t="n">
        <f aca="false">MAX(AS32:AS35)-MIN(AS32:AS35)+1</f>
        <v>1</v>
      </c>
      <c r="AT36" s="40" t="n">
        <f aca="false">MAX(AT32:AT35)-MIN(AT32:AT35)+1</f>
        <v>1</v>
      </c>
      <c r="AY36" s="70"/>
      <c r="AZ36" s="70"/>
      <c r="BA36" s="70"/>
      <c r="BB36" s="70"/>
      <c r="BC36" s="90"/>
      <c r="BD36" s="70"/>
      <c r="BE36" s="78" t="n">
        <v>60</v>
      </c>
      <c r="BF36" s="79" t="str">
        <f aca="false">T64</f>
        <v>W55</v>
      </c>
      <c r="BG36" s="80"/>
      <c r="BH36" s="81"/>
      <c r="BI36" s="94"/>
      <c r="BJ36" s="70"/>
      <c r="BK36" s="70"/>
      <c r="BL36" s="70"/>
      <c r="BM36" s="70"/>
      <c r="BN36" s="70"/>
      <c r="BO36" s="70"/>
      <c r="BP36" s="70"/>
      <c r="BQ36" s="78"/>
      <c r="BR36" s="82" t="str">
        <f aca="false">Z77</f>
        <v>L62</v>
      </c>
      <c r="BS36" s="83"/>
      <c r="BT36" s="84"/>
    </row>
    <row r="37" customFormat="false" ht="15" hidden="false" customHeight="true" outlineLevel="0" collapsed="false">
      <c r="A37" s="59" t="n">
        <v>31</v>
      </c>
      <c r="B37" s="60" t="str">
        <f aca="false">INDEX(T,18+INT(MOD(R37-1,7)),lang)</f>
        <v>Sun</v>
      </c>
      <c r="C37" s="61" t="str">
        <f aca="false">INDEX(T,24+MONTH(R37),lang) &amp; " " &amp; DAY(R37) &amp; ", " &amp; YEAR(R37)</f>
        <v>Jun 24, 2018</v>
      </c>
      <c r="D37" s="62" t="n">
        <f aca="false">TIME(HOUR(R37),MINUTE(R37),0)</f>
        <v>0.583333333333333</v>
      </c>
      <c r="E37" s="63" t="str">
        <f aca="false">AB50</f>
        <v>Polonia</v>
      </c>
      <c r="F37" s="64" t="n">
        <v>0</v>
      </c>
      <c r="G37" s="65" t="n">
        <v>3</v>
      </c>
      <c r="H37" s="66" t="str">
        <f aca="false">AB52</f>
        <v>Colombia</v>
      </c>
      <c r="R37" s="40" t="n">
        <f aca="false">DATE(2018,6,24)+TIME(7,0,0)+gmt_delta</f>
        <v>43275.5833333333</v>
      </c>
      <c r="S37" s="41" t="str">
        <f aca="false">IF(OR(F37="",G37=""),"",IF(F37&gt;G37,E37&amp;"_win",IF(F37&lt;G37,E37&amp;"_lose",E37&amp;"_draw")))</f>
        <v>Polonia_lose</v>
      </c>
      <c r="T37" s="41" t="str">
        <f aca="false">IF(S37="","",IF(F37&lt;G37,H37&amp;"_win",IF(F37&gt;G37,H37&amp;"_lose",H37&amp;"_draw")))</f>
        <v>Colombia_win</v>
      </c>
      <c r="U37" s="42" t="n">
        <f aca="false">IF(S37="",0,IF(VLOOKUP(E37,$AB$8:$AK$53,7,0)=VLOOKUP(H37,$AB$8:$AK$53,7,0),1,0))</f>
        <v>0</v>
      </c>
      <c r="V37" s="40" t="n">
        <f aca="false">U37*F37</f>
        <v>0</v>
      </c>
      <c r="W37" s="40" t="n">
        <f aca="false">U37*G37</f>
        <v>0</v>
      </c>
      <c r="X37" s="40" t="n">
        <f aca="false">IF(OR(E37=my_team,H37=my_team),1,0)</f>
        <v>0</v>
      </c>
      <c r="Y37" s="40" t="n">
        <f aca="false">IF(OR(F37="",G37=""),"",IF(F37&gt;G37,1,IF(F37&lt;G37,-1,0)))</f>
        <v>-1</v>
      </c>
      <c r="AH37" s="40" t="n">
        <f aca="false">MIN(AH32:AH35)</f>
        <v>9701</v>
      </c>
      <c r="AI37" s="40" t="n">
        <f aca="false">MIN(AI32:AI35)</f>
        <v>-3</v>
      </c>
      <c r="AY37" s="70" t="str">
        <f aca="false">INDEX(T,24+MONTH(R65),lang) &amp; " " &amp; DAY(R65) &amp; ", " &amp; YEAR(R65) &amp; "   " &amp; TEXT(TIME(HOUR(R65),MINUTE(R65),0),"hh:mm")</f>
        <v>Jul 3, 2018   14:00</v>
      </c>
      <c r="AZ37" s="70"/>
      <c r="BA37" s="70"/>
      <c r="BB37" s="86"/>
      <c r="BC37" s="90"/>
      <c r="BD37" s="93"/>
      <c r="BE37" s="78"/>
      <c r="BF37" s="82" t="str">
        <f aca="false">T65</f>
        <v>W56</v>
      </c>
      <c r="BG37" s="83"/>
      <c r="BH37" s="84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</row>
    <row r="38" customFormat="false" ht="15" hidden="false" customHeight="true" outlineLevel="0" collapsed="false">
      <c r="A38" s="59" t="n">
        <v>32</v>
      </c>
      <c r="B38" s="60" t="str">
        <f aca="false">INDEX(T,18+INT(MOD(R38-1,7)),lang)</f>
        <v>Sun</v>
      </c>
      <c r="C38" s="61" t="str">
        <f aca="false">INDEX(T,24+MONTH(R38),lang) &amp; " " &amp; DAY(R38) &amp; ", " &amp; YEAR(R38)</f>
        <v>Jun 24, 2018</v>
      </c>
      <c r="D38" s="62" t="n">
        <f aca="false">TIME(HOUR(R38),MINUTE(R38),0)</f>
        <v>0.458333333333333</v>
      </c>
      <c r="E38" s="63" t="str">
        <f aca="false">AB53</f>
        <v>Japón</v>
      </c>
      <c r="F38" s="64" t="n">
        <v>2</v>
      </c>
      <c r="G38" s="65" t="n">
        <v>2</v>
      </c>
      <c r="H38" s="66" t="str">
        <f aca="false">AB51</f>
        <v>Senegal</v>
      </c>
      <c r="J38" s="67" t="str">
        <f aca="false">INDEX(T,9,lang) &amp; " " &amp; "F"</f>
        <v>Grupo F</v>
      </c>
      <c r="K38" s="68" t="str">
        <f aca="false">INDEX(T,10,lang)</f>
        <v>J</v>
      </c>
      <c r="L38" s="68" t="str">
        <f aca="false">INDEX(T,11,lang)</f>
        <v>G</v>
      </c>
      <c r="M38" s="68" t="str">
        <f aca="false">INDEX(T,12,lang)</f>
        <v>DRAW</v>
      </c>
      <c r="N38" s="68" t="str">
        <f aca="false">INDEX(T,13,lang)</f>
        <v>P</v>
      </c>
      <c r="O38" s="68" t="str">
        <f aca="false">INDEX(T,14,lang)</f>
        <v>GF - GC</v>
      </c>
      <c r="P38" s="69" t="str">
        <f aca="false">INDEX(T,15,lang)</f>
        <v>PTS</v>
      </c>
      <c r="R38" s="40" t="n">
        <f aca="false">DATE(2018,6,24)+TIME(4,0,0)+gmt_delta</f>
        <v>43275.4583333333</v>
      </c>
      <c r="S38" s="41" t="str">
        <f aca="false">IF(OR(F38="",G38=""),"",IF(F38&gt;G38,E38&amp;"_win",IF(F38&lt;G38,E38&amp;"_lose",E38&amp;"_draw")))</f>
        <v>Japón_draw</v>
      </c>
      <c r="T38" s="41" t="str">
        <f aca="false">IF(S38="","",IF(F38&lt;G38,H38&amp;"_win",IF(F38&gt;G38,H38&amp;"_lose",H38&amp;"_draw")))</f>
        <v>Senegal_draw</v>
      </c>
      <c r="U38" s="42" t="n">
        <f aca="false">IF(S38="",0,IF(VLOOKUP(E38,$AB$8:$AK$53,7,0)=VLOOKUP(H38,$AB$8:$AK$53,7,0),1,0))</f>
        <v>1</v>
      </c>
      <c r="V38" s="40" t="n">
        <f aca="false">U38*F38</f>
        <v>2</v>
      </c>
      <c r="W38" s="40" t="n">
        <f aca="false">U38*G38</f>
        <v>2</v>
      </c>
      <c r="X38" s="40" t="n">
        <f aca="false">IF(OR(E38=my_team,H38=my_team),1,0)</f>
        <v>0</v>
      </c>
      <c r="Y38" s="40" t="n">
        <f aca="false">IF(OR(F38="",G38=""),"",IF(F38&gt;G38,1,IF(F38&lt;G38,-1,0)))</f>
        <v>0</v>
      </c>
      <c r="AA38" s="40" t="n">
        <f aca="false">COUNTIF(AN38:AN41,CONCATENATE("&gt;=",AN38))</f>
        <v>4</v>
      </c>
      <c r="AB38" s="42" t="str">
        <f aca="false">VLOOKUP("Germany",T,lang,0)</f>
        <v>Alemania</v>
      </c>
      <c r="AC38" s="40" t="n">
        <f aca="false">COUNTIF($S$7:$T$54,"=" &amp; AB38 &amp; "_win")</f>
        <v>1</v>
      </c>
      <c r="AD38" s="40" t="n">
        <f aca="false">COUNTIF($S$7:$T$54,"=" &amp; AB38 &amp; "_draw")</f>
        <v>0</v>
      </c>
      <c r="AE38" s="40" t="n">
        <f aca="false">COUNTIF($S$7:$T$54,"=" &amp; AB38 &amp; "_lose")</f>
        <v>2</v>
      </c>
      <c r="AF38" s="40" t="n">
        <f aca="false">SUMIF($E$7:$E$54,$AB38,$F$7:$F$54) + SUMIF($H$7:$H$54,$AB38,$G$7:$G$54)</f>
        <v>2</v>
      </c>
      <c r="AG38" s="40" t="n">
        <f aca="false">SUMIF($E$7:$E$54,$AB38,$G$7:$G$54) + SUMIF($H$7:$H$54,$AB38,$F$7:$F$54)</f>
        <v>4</v>
      </c>
      <c r="AH38" s="40" t="n">
        <f aca="false">(AF38-AG38)*100+AK38*10000+AF38</f>
        <v>29802</v>
      </c>
      <c r="AI38" s="40" t="n">
        <f aca="false">AF38-AG38</f>
        <v>-2</v>
      </c>
      <c r="AJ38" s="40" t="n">
        <f aca="false">(AI38-AI43)/AI42</f>
        <v>0</v>
      </c>
      <c r="AK38" s="40" t="n">
        <f aca="false">AC38*3+AD38</f>
        <v>3</v>
      </c>
      <c r="AL38" s="40" t="n">
        <f aca="false">AP38/AP42*1000+AQ38/AQ42*100+AT38/AT42*10+AR38/AR42</f>
        <v>0</v>
      </c>
      <c r="AM38" s="40" t="n">
        <f aca="false">VLOOKUP(AB38,db_fifarank,2,0)/2000000</f>
        <v>0.000801</v>
      </c>
      <c r="AN38" s="42" t="n">
        <f aca="false">1000*AK38/AK42+100*AJ38+10*AF38/AF42+1*AL38/AL42+AM38</f>
        <v>755.000801</v>
      </c>
      <c r="AO38" s="43" t="str">
        <f aca="false">IF(SUM(AC38:AE41)=12,J39,INDEX(T,80,lang))</f>
        <v>Suecia</v>
      </c>
      <c r="AP38" s="44" t="n">
        <f aca="false">SUMPRODUCT(($S$7:$S$54=AB38&amp;"_win")*($U$7:$U$54))+SUMPRODUCT(($T$7:$T$54=AB38&amp;"_win")*($U$7:$U$54))</f>
        <v>0</v>
      </c>
      <c r="AQ38" s="44" t="n">
        <f aca="false">SUMPRODUCT(($S$7:$S$54=AB38&amp;"_draw")*($U$7:$U$54))+SUMPRODUCT(($T$7:$T$54=AB38&amp;"_draw")*($U$7:$U$54))</f>
        <v>0</v>
      </c>
      <c r="AR38" s="44" t="n">
        <f aca="false">SUMPRODUCT(($E$7:$E$54=AB38)*($U$7:$U$54)*($F$7:$F$54))+SUMPRODUCT(($H$7:$H$54=AB38)*($U$7:$U$54)*($G$7:$G$54))</f>
        <v>0</v>
      </c>
      <c r="AS38" s="44" t="n">
        <f aca="false">SUMPRODUCT(($E$7:$E$54=AB38)*($U$7:$U$54)*($G$7:$G$54))+SUMPRODUCT(($H$7:$H$54=AB38)*($U$7:$U$54)*($F$7:$F$54))</f>
        <v>0</v>
      </c>
      <c r="AT38" s="44" t="n">
        <f aca="false">AR38-AS38</f>
        <v>0</v>
      </c>
      <c r="AY38" s="78" t="n">
        <v>56</v>
      </c>
      <c r="AZ38" s="79" t="str">
        <f aca="false">AO50</f>
        <v>1H</v>
      </c>
      <c r="BA38" s="80"/>
      <c r="BB38" s="81"/>
      <c r="BC38" s="94"/>
      <c r="BD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</row>
    <row r="39" customFormat="false" ht="15" hidden="false" customHeight="true" outlineLevel="0" collapsed="false">
      <c r="A39" s="59" t="n">
        <v>33</v>
      </c>
      <c r="B39" s="60" t="str">
        <f aca="false">INDEX(T,18+INT(MOD(R39-1,7)),lang)</f>
        <v>Mon</v>
      </c>
      <c r="C39" s="61" t="str">
        <f aca="false">INDEX(T,24+MONTH(R39),lang) &amp; " " &amp; DAY(R39) &amp; ", " &amp; YEAR(R39)</f>
        <v>Jun 25, 2018</v>
      </c>
      <c r="D39" s="62" t="n">
        <f aca="false">TIME(HOUR(R39),MINUTE(R39),0)</f>
        <v>0.416666666666667</v>
      </c>
      <c r="E39" s="63" t="str">
        <f aca="false">AB11</f>
        <v>Uruguay</v>
      </c>
      <c r="F39" s="64" t="n">
        <v>3</v>
      </c>
      <c r="G39" s="65" t="n">
        <v>0</v>
      </c>
      <c r="H39" s="66" t="str">
        <f aca="false">AB8</f>
        <v>Rusia</v>
      </c>
      <c r="J39" s="71" t="str">
        <f aca="false">VLOOKUP(1,AA38:AK41,2,0)</f>
        <v>Suecia</v>
      </c>
      <c r="K39" s="72" t="n">
        <f aca="false">L39+M39+N39</f>
        <v>3</v>
      </c>
      <c r="L39" s="72" t="n">
        <f aca="false">VLOOKUP(1,AA38:AK41,3,0)</f>
        <v>2</v>
      </c>
      <c r="M39" s="72" t="n">
        <f aca="false">VLOOKUP(1,AA38:AK41,4,0)</f>
        <v>0</v>
      </c>
      <c r="N39" s="72" t="n">
        <f aca="false">VLOOKUP(1,AA38:AK41,5,0)</f>
        <v>1</v>
      </c>
      <c r="O39" s="72" t="str">
        <f aca="false">VLOOKUP(1,AA38:AK41,6,0) &amp; " - " &amp; VLOOKUP(1,AA38:AK41,7,0)</f>
        <v>5 - 2</v>
      </c>
      <c r="P39" s="73" t="n">
        <f aca="false">L39*3+M39</f>
        <v>6</v>
      </c>
      <c r="R39" s="40" t="n">
        <f aca="false">DATE(2018,6,25)+TIME(3,0,0)+gmt_delta</f>
        <v>43276.4166666667</v>
      </c>
      <c r="S39" s="41" t="str">
        <f aca="false">IF(OR(F39="",G39=""),"",IF(F39&gt;G39,E39&amp;"_win",IF(F39&lt;G39,E39&amp;"_lose",E39&amp;"_draw")))</f>
        <v>Uruguay_win</v>
      </c>
      <c r="T39" s="41" t="str">
        <f aca="false">IF(S39="","",IF(F39&lt;G39,H39&amp;"_win",IF(F39&gt;G39,H39&amp;"_lose",H39&amp;"_draw")))</f>
        <v>Rusia_lose</v>
      </c>
      <c r="U39" s="42" t="n">
        <f aca="false">IF(S39="",0,IF(VLOOKUP(E39,$AB$8:$AK$53,7,0)=VLOOKUP(H39,$AB$8:$AK$53,7,0),1,0))</f>
        <v>0</v>
      </c>
      <c r="V39" s="40" t="n">
        <f aca="false">U39*F39</f>
        <v>0</v>
      </c>
      <c r="W39" s="40" t="n">
        <f aca="false">U39*G39</f>
        <v>0</v>
      </c>
      <c r="X39" s="40" t="n">
        <f aca="false">IF(OR(E39=my_team,H39=my_team),1,0)</f>
        <v>0</v>
      </c>
      <c r="Y39" s="40" t="n">
        <f aca="false">IF(OR(F39="",G39=""),"",IF(F39&gt;G39,1,IF(F39&lt;G39,-1,0)))</f>
        <v>1</v>
      </c>
      <c r="AA39" s="40" t="n">
        <f aca="false">COUNTIF(AN38:AN41,CONCATENATE("&gt;=",AN39))</f>
        <v>2</v>
      </c>
      <c r="AB39" s="42" t="str">
        <f aca="false">VLOOKUP("Mexico",T,lang,0)</f>
        <v>México</v>
      </c>
      <c r="AC39" s="40" t="n">
        <f aca="false">COUNTIF($S$7:$T$54,"=" &amp; AB39 &amp; "_win")</f>
        <v>2</v>
      </c>
      <c r="AD39" s="40" t="n">
        <f aca="false">COUNTIF($S$7:$T$54,"=" &amp; AB39 &amp; "_draw")</f>
        <v>0</v>
      </c>
      <c r="AE39" s="40" t="n">
        <f aca="false">COUNTIF($S$7:$T$54,"=" &amp; AB39 &amp; "_lose")</f>
        <v>1</v>
      </c>
      <c r="AF39" s="40" t="n">
        <f aca="false">SUMIF($E$7:$E$54,$AB39,$F$7:$F$54) + SUMIF($H$7:$H$54,$AB39,$G$7:$G$54)</f>
        <v>3</v>
      </c>
      <c r="AG39" s="40" t="n">
        <f aca="false">SUMIF($E$7:$E$54,$AB39,$G$7:$G$54) + SUMIF($H$7:$H$54,$AB39,$F$7:$F$54)</f>
        <v>4</v>
      </c>
      <c r="AH39" s="40" t="n">
        <f aca="false">(AF39-AG39)*100+AK39*10000+AF39</f>
        <v>59903</v>
      </c>
      <c r="AI39" s="40" t="n">
        <f aca="false">AF39-AG39</f>
        <v>-1</v>
      </c>
      <c r="AJ39" s="40" t="n">
        <f aca="false">(AI39-AI43)/AI42</f>
        <v>0.166666666666667</v>
      </c>
      <c r="AK39" s="40" t="n">
        <f aca="false">AC39*3+AD39</f>
        <v>6</v>
      </c>
      <c r="AL39" s="40" t="n">
        <f aca="false">AP39/AP42*1000+AQ39/AQ42*100+AT39/AT42*10+AR39/AR42</f>
        <v>0</v>
      </c>
      <c r="AM39" s="40" t="n">
        <f aca="false">VLOOKUP(AB39,db_fifarank,2,0)/2000000</f>
        <v>0.000516</v>
      </c>
      <c r="AN39" s="42" t="n">
        <f aca="false">1000*AK39/AK42+100*AJ39+10*AF39/AF42+1*AL39/AL42+AM39</f>
        <v>1524.16718266667</v>
      </c>
      <c r="AO39" s="43" t="str">
        <f aca="false">IF(SUM(AC38:AE41)=12,J40,INDEX(T,81,lang))</f>
        <v>México</v>
      </c>
      <c r="AP39" s="44" t="n">
        <f aca="false">SUMPRODUCT(($S$7:$S$54=AB39&amp;"_win")*($U$7:$U$54))+SUMPRODUCT(($T$7:$T$54=AB39&amp;"_win")*($U$7:$U$54))</f>
        <v>0</v>
      </c>
      <c r="AQ39" s="44" t="n">
        <f aca="false">SUMPRODUCT(($S$7:$S$54=AB39&amp;"_draw")*($U$7:$U$54))+SUMPRODUCT(($T$7:$T$54=AB39&amp;"_draw")*($U$7:$U$54))</f>
        <v>0</v>
      </c>
      <c r="AR39" s="44" t="n">
        <f aca="false">SUMPRODUCT(($E$7:$E$54=AB39)*($U$7:$U$54)*($F$7:$F$54))+SUMPRODUCT(($H$7:$H$54=AB39)*($U$7:$U$54)*($G$7:$G$54))</f>
        <v>0</v>
      </c>
      <c r="AS39" s="44" t="n">
        <f aca="false">SUMPRODUCT(($E$7:$E$54=AB39)*($U$7:$U$54)*($G$7:$G$54))+SUMPRODUCT(($H$7:$H$54=AB39)*($U$7:$U$54)*($F$7:$F$54))</f>
        <v>0</v>
      </c>
      <c r="AT39" s="44" t="n">
        <f aca="false">AR39-AS39</f>
        <v>0</v>
      </c>
      <c r="AY39" s="78"/>
      <c r="AZ39" s="82" t="str">
        <f aca="false">AO45</f>
        <v>2G</v>
      </c>
      <c r="BA39" s="83"/>
      <c r="BB39" s="84"/>
      <c r="BC39" s="70"/>
      <c r="BD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</row>
    <row r="40" customFormat="false" ht="15" hidden="false" customHeight="true" outlineLevel="0" collapsed="false">
      <c r="A40" s="59" t="n">
        <v>34</v>
      </c>
      <c r="B40" s="60" t="str">
        <f aca="false">INDEX(T,18+INT(MOD(R40-1,7)),lang)</f>
        <v>Mon</v>
      </c>
      <c r="C40" s="61" t="str">
        <f aca="false">INDEX(T,24+MONTH(R40),lang) &amp; " " &amp; DAY(R40) &amp; ", " &amp; YEAR(R40)</f>
        <v>Jun 25, 2018</v>
      </c>
      <c r="D40" s="62" t="n">
        <f aca="false">TIME(HOUR(R40),MINUTE(R40),0)</f>
        <v>0.416666666666667</v>
      </c>
      <c r="E40" s="63" t="str">
        <f aca="false">AB9</f>
        <v>Arabia Saudita</v>
      </c>
      <c r="F40" s="64" t="n">
        <v>2</v>
      </c>
      <c r="G40" s="65" t="n">
        <v>1</v>
      </c>
      <c r="H40" s="66" t="str">
        <f aca="false">AB10</f>
        <v>Egipto</v>
      </c>
      <c r="J40" s="75" t="str">
        <f aca="false">VLOOKUP(2,AA38:AK41,2,0)</f>
        <v>México</v>
      </c>
      <c r="K40" s="76" t="n">
        <f aca="false">L40+M40+N40</f>
        <v>3</v>
      </c>
      <c r="L40" s="76" t="n">
        <f aca="false">VLOOKUP(2,AA38:AK41,3,0)</f>
        <v>2</v>
      </c>
      <c r="M40" s="76" t="n">
        <f aca="false">VLOOKUP(2,AA38:AK41,4,0)</f>
        <v>0</v>
      </c>
      <c r="N40" s="76" t="n">
        <f aca="false">VLOOKUP(2,AA38:AK41,5,0)</f>
        <v>1</v>
      </c>
      <c r="O40" s="76" t="str">
        <f aca="false">VLOOKUP(2,AA38:AK41,6,0) &amp; " - " &amp; VLOOKUP(2,AA38:AK41,7,0)</f>
        <v>3 - 4</v>
      </c>
      <c r="P40" s="77" t="n">
        <f aca="false">L40*3+M40</f>
        <v>6</v>
      </c>
      <c r="R40" s="40" t="n">
        <f aca="false">DATE(2018,6,25)+TIME(3,0,0)+gmt_delta</f>
        <v>43276.4166666667</v>
      </c>
      <c r="S40" s="41" t="str">
        <f aca="false">IF(OR(F40="",G40=""),"",IF(F40&gt;G40,E40&amp;"_win",IF(F40&lt;G40,E40&amp;"_lose",E40&amp;"_draw")))</f>
        <v>Arabia Saudita_win</v>
      </c>
      <c r="T40" s="41" t="str">
        <f aca="false">IF(S40="","",IF(F40&lt;G40,H40&amp;"_win",IF(F40&gt;G40,H40&amp;"_lose",H40&amp;"_draw")))</f>
        <v>Egipto_lose</v>
      </c>
      <c r="U40" s="42" t="n">
        <f aca="false">IF(S40="",0,IF(VLOOKUP(E40,$AB$8:$AK$53,7,0)=VLOOKUP(H40,$AB$8:$AK$53,7,0),1,0))</f>
        <v>0</v>
      </c>
      <c r="V40" s="40" t="n">
        <f aca="false">U40*F40</f>
        <v>0</v>
      </c>
      <c r="W40" s="40" t="n">
        <f aca="false">U40*G40</f>
        <v>0</v>
      </c>
      <c r="X40" s="40" t="n">
        <f aca="false">IF(OR(E40=my_team,H40=my_team),1,0)</f>
        <v>0</v>
      </c>
      <c r="Y40" s="40" t="n">
        <f aca="false">IF(OR(F40="",G40=""),"",IF(F40&gt;G40,1,IF(F40&lt;G40,-1,0)))</f>
        <v>1</v>
      </c>
      <c r="AA40" s="40" t="n">
        <f aca="false">COUNTIF(AN38:AN41,CONCATENATE("&gt;=",AN40))</f>
        <v>1</v>
      </c>
      <c r="AB40" s="42" t="str">
        <f aca="false">VLOOKUP("Sweden",T,lang,0)</f>
        <v>Suecia</v>
      </c>
      <c r="AC40" s="40" t="n">
        <f aca="false">COUNTIF($S$7:$T$54,"=" &amp; AB40 &amp; "_win")</f>
        <v>2</v>
      </c>
      <c r="AD40" s="40" t="n">
        <f aca="false">COUNTIF($S$7:$T$54,"=" &amp; AB40 &amp; "_draw")</f>
        <v>0</v>
      </c>
      <c r="AE40" s="40" t="n">
        <f aca="false">COUNTIF($S$7:$T$54,"=" &amp; AB40 &amp; "_lose")</f>
        <v>1</v>
      </c>
      <c r="AF40" s="40" t="n">
        <f aca="false">SUMIF($E$7:$E$54,$AB40,$F$7:$F$54) + SUMIF($H$7:$H$54,$AB40,$G$7:$G$54)</f>
        <v>5</v>
      </c>
      <c r="AG40" s="40" t="n">
        <f aca="false">SUMIF($E$7:$E$54,$AB40,$G$7:$G$54) + SUMIF($H$7:$H$54,$AB40,$F$7:$F$54)</f>
        <v>2</v>
      </c>
      <c r="AH40" s="40" t="n">
        <f aca="false">(AF40-AG40)*100+AK40*10000+AF40</f>
        <v>60305</v>
      </c>
      <c r="AI40" s="40" t="n">
        <f aca="false">AF40-AG40</f>
        <v>3</v>
      </c>
      <c r="AJ40" s="40" t="n">
        <f aca="false">(AI40-AI43)/AI42</f>
        <v>0.833333333333333</v>
      </c>
      <c r="AK40" s="40" t="n">
        <f aca="false">AC40*3+AD40</f>
        <v>6</v>
      </c>
      <c r="AL40" s="40" t="n">
        <f aca="false">AP40/AP42*1000+AQ40/AQ42*100+AT40/AT42*10+AR40/AR42</f>
        <v>0</v>
      </c>
      <c r="AM40" s="40" t="n">
        <f aca="false">VLOOKUP(AB40,db_fifarank,2,0)/2000000</f>
        <v>0.000499</v>
      </c>
      <c r="AN40" s="42" t="n">
        <f aca="false">1000*AK40/AK42+100*AJ40+10*AF40/AF42+1*AL40/AL42+AM40</f>
        <v>1595.83383233333</v>
      </c>
      <c r="AP40" s="44" t="n">
        <f aca="false">SUMPRODUCT(($S$7:$S$54=AB40&amp;"_win")*($U$7:$U$54))+SUMPRODUCT(($T$7:$T$54=AB40&amp;"_win")*($U$7:$U$54))</f>
        <v>0</v>
      </c>
      <c r="AQ40" s="44" t="n">
        <f aca="false">SUMPRODUCT(($S$7:$S$54=AB40&amp;"_draw")*($U$7:$U$54))+SUMPRODUCT(($T$7:$T$54=AB40&amp;"_draw")*($U$7:$U$54))</f>
        <v>0</v>
      </c>
      <c r="AR40" s="44" t="n">
        <f aca="false">SUMPRODUCT(($E$7:$E$54=AB40)*($U$7:$U$54)*($F$7:$F$54))+SUMPRODUCT(($H$7:$H$54=AB40)*($U$7:$U$54)*($G$7:$G$54))</f>
        <v>0</v>
      </c>
      <c r="AS40" s="44" t="n">
        <f aca="false">SUMPRODUCT(($E$7:$E$54=AB40)*($U$7:$U$54)*($G$7:$G$54))+SUMPRODUCT(($H$7:$H$54=AB40)*($U$7:$U$54)*($F$7:$F$54))</f>
        <v>0</v>
      </c>
      <c r="AT40" s="44" t="n">
        <f aca="false">AR40-AS40</f>
        <v>0</v>
      </c>
    </row>
    <row r="41" customFormat="false" ht="15" hidden="false" customHeight="true" outlineLevel="0" collapsed="false">
      <c r="A41" s="59" t="n">
        <v>35</v>
      </c>
      <c r="B41" s="60" t="str">
        <f aca="false">INDEX(T,18+INT(MOD(R41-1,7)),lang)</f>
        <v>Mon</v>
      </c>
      <c r="C41" s="61" t="str">
        <f aca="false">INDEX(T,24+MONTH(R41),lang) &amp; " " &amp; DAY(R41) &amp; ", " &amp; YEAR(R41)</f>
        <v>Jun 25, 2018</v>
      </c>
      <c r="D41" s="62" t="n">
        <f aca="false">TIME(HOUR(R41),MINUTE(R41),0)</f>
        <v>0.583333333333333</v>
      </c>
      <c r="E41" s="63" t="str">
        <f aca="false">AB17</f>
        <v>Irán</v>
      </c>
      <c r="F41" s="64" t="n">
        <v>1</v>
      </c>
      <c r="G41" s="65" t="n">
        <v>1</v>
      </c>
      <c r="H41" s="66" t="str">
        <f aca="false">AB14</f>
        <v>Portugal</v>
      </c>
      <c r="J41" s="75" t="str">
        <f aca="false">VLOOKUP(3,AA38:AK41,2,0)</f>
        <v>República de Corea</v>
      </c>
      <c r="K41" s="76" t="n">
        <f aca="false">L41+M41+N41</f>
        <v>3</v>
      </c>
      <c r="L41" s="76" t="n">
        <f aca="false">VLOOKUP(3,AA38:AK41,3,0)</f>
        <v>1</v>
      </c>
      <c r="M41" s="76" t="n">
        <f aca="false">VLOOKUP(3,AA38:AK41,4,0)</f>
        <v>0</v>
      </c>
      <c r="N41" s="76" t="n">
        <f aca="false">VLOOKUP(3,AA38:AK41,5,0)</f>
        <v>2</v>
      </c>
      <c r="O41" s="76" t="str">
        <f aca="false">VLOOKUP(3,AA38:AK41,6,0) &amp; " - " &amp; VLOOKUP(3,AA38:AK41,7,0)</f>
        <v>3 - 3</v>
      </c>
      <c r="P41" s="77" t="n">
        <f aca="false">L41*3+M41</f>
        <v>3</v>
      </c>
      <c r="R41" s="40" t="n">
        <f aca="false">DATE(2018,6,25)+TIME(7,0,0)+gmt_delta</f>
        <v>43276.5833333333</v>
      </c>
      <c r="S41" s="41" t="str">
        <f aca="false">IF(OR(F41="",G41=""),"",IF(F41&gt;G41,E41&amp;"_win",IF(F41&lt;G41,E41&amp;"_lose",E41&amp;"_draw")))</f>
        <v>Irán_draw</v>
      </c>
      <c r="T41" s="41" t="str">
        <f aca="false">IF(S41="","",IF(F41&lt;G41,H41&amp;"_win",IF(F41&gt;G41,H41&amp;"_lose",H41&amp;"_draw")))</f>
        <v>Portugal_draw</v>
      </c>
      <c r="U41" s="42" t="n">
        <f aca="false">IF(S41="",0,IF(VLOOKUP(E41,$AB$8:$AK$53,7,0)=VLOOKUP(H41,$AB$8:$AK$53,7,0),1,0))</f>
        <v>0</v>
      </c>
      <c r="V41" s="40" t="n">
        <f aca="false">U41*F41</f>
        <v>0</v>
      </c>
      <c r="W41" s="40" t="n">
        <f aca="false">U41*G41</f>
        <v>0</v>
      </c>
      <c r="X41" s="40" t="n">
        <f aca="false">IF(OR(E41=my_team,H41=my_team),1,0)</f>
        <v>0</v>
      </c>
      <c r="Y41" s="40" t="n">
        <f aca="false">IF(OR(F41="",G41=""),"",IF(F41&gt;G41,1,IF(F41&lt;G41,-1,0)))</f>
        <v>0</v>
      </c>
      <c r="AA41" s="40" t="n">
        <f aca="false">COUNTIF(AN38:AN41,CONCATENATE("&gt;=",AN41))</f>
        <v>3</v>
      </c>
      <c r="AB41" s="42" t="str">
        <f aca="false">VLOOKUP("Korea Republic",T,lang,0)</f>
        <v>República de Corea</v>
      </c>
      <c r="AC41" s="40" t="n">
        <f aca="false">COUNTIF($S$7:$T$54,"=" &amp; AB41 &amp; "_win")</f>
        <v>1</v>
      </c>
      <c r="AD41" s="40" t="n">
        <f aca="false">COUNTIF($S$7:$T$54,"=" &amp; AB41 &amp; "_draw")</f>
        <v>0</v>
      </c>
      <c r="AE41" s="40" t="n">
        <f aca="false">COUNTIF($S$7:$T$54,"=" &amp; AB41 &amp; "_lose")</f>
        <v>2</v>
      </c>
      <c r="AF41" s="40" t="n">
        <f aca="false">SUMIF($E$7:$E$54,$AB41,$F$7:$F$54) + SUMIF($H$7:$H$54,$AB41,$G$7:$G$54)</f>
        <v>3</v>
      </c>
      <c r="AG41" s="40" t="n">
        <f aca="false">SUMIF($E$7:$E$54,$AB41,$G$7:$G$54) + SUMIF($H$7:$H$54,$AB41,$F$7:$F$54)</f>
        <v>3</v>
      </c>
      <c r="AH41" s="40" t="n">
        <f aca="false">(AF41-AG41)*100+AK41*10000+AF41</f>
        <v>30003</v>
      </c>
      <c r="AI41" s="40" t="n">
        <f aca="false">AF41-AG41</f>
        <v>0</v>
      </c>
      <c r="AJ41" s="40" t="n">
        <f aca="false">(AI41-AI43)/AI42</f>
        <v>0.333333333333333</v>
      </c>
      <c r="AK41" s="40" t="n">
        <f aca="false">AC41*3+AD41</f>
        <v>3</v>
      </c>
      <c r="AL41" s="40" t="n">
        <f aca="false">AP41/AP42*1000+AQ41/AQ42*100+AT41/AT42*10+AR41/AR42</f>
        <v>0</v>
      </c>
      <c r="AM41" s="40" t="n">
        <f aca="false">VLOOKUP(AB41,db_fifarank,2,0)/2000000</f>
        <v>0.000285</v>
      </c>
      <c r="AN41" s="42" t="n">
        <f aca="false">1000*AK41/AK42+100*AJ41+10*AF41/AF42+1*AL41/AL42+AM41</f>
        <v>790.833618333333</v>
      </c>
      <c r="AP41" s="44" t="n">
        <f aca="false">SUMPRODUCT(($S$7:$S$54=AB41&amp;"_win")*($U$7:$U$54))+SUMPRODUCT(($T$7:$T$54=AB41&amp;"_win")*($U$7:$U$54))</f>
        <v>0</v>
      </c>
      <c r="AQ41" s="44" t="n">
        <f aca="false">SUMPRODUCT(($S$7:$S$54=AB41&amp;"_draw")*($U$7:$U$54))+SUMPRODUCT(($T$7:$T$54=AB41&amp;"_draw")*($U$7:$U$54))</f>
        <v>0</v>
      </c>
      <c r="AR41" s="44" t="n">
        <f aca="false">SUMPRODUCT(($E$7:$E$54=AB41)*($U$7:$U$54)*($F$7:$F$54))+SUMPRODUCT(($H$7:$H$54=AB41)*($U$7:$U$54)*($G$7:$G$54))</f>
        <v>0</v>
      </c>
      <c r="AS41" s="44" t="n">
        <f aca="false">SUMPRODUCT(($E$7:$E$54=AB41)*($U$7:$U$54)*($G$7:$G$54))+SUMPRODUCT(($H$7:$H$54=AB41)*($U$7:$U$54)*($F$7:$F$54))</f>
        <v>0</v>
      </c>
      <c r="AT41" s="44" t="n">
        <f aca="false">AR41-AS41</f>
        <v>0</v>
      </c>
      <c r="BJ41" s="100" t="str">
        <f aca="false">INDEX(T,102,lang)</f>
        <v>Campeón 2018</v>
      </c>
      <c r="BK41" s="100"/>
      <c r="BL41" s="100"/>
      <c r="BM41" s="100"/>
      <c r="BN41" s="100"/>
      <c r="BO41" s="101" t="str">
        <f aca="false">S85</f>
        <v/>
      </c>
      <c r="BP41" s="101"/>
      <c r="BQ41" s="101"/>
      <c r="BR41" s="101"/>
      <c r="BS41" s="101"/>
      <c r="BT41" s="101"/>
    </row>
    <row r="42" customFormat="false" ht="15" hidden="false" customHeight="true" outlineLevel="0" collapsed="false">
      <c r="A42" s="59" t="n">
        <v>36</v>
      </c>
      <c r="B42" s="60" t="str">
        <f aca="false">INDEX(T,18+INT(MOD(R42-1,7)),lang)</f>
        <v>Mon</v>
      </c>
      <c r="C42" s="61" t="str">
        <f aca="false">INDEX(T,24+MONTH(R42),lang) &amp; " " &amp; DAY(R42) &amp; ", " &amp; YEAR(R42)</f>
        <v>Jun 25, 2018</v>
      </c>
      <c r="D42" s="62" t="n">
        <f aca="false">TIME(HOUR(R42),MINUTE(R42),0)</f>
        <v>0.583333333333333</v>
      </c>
      <c r="E42" s="63" t="str">
        <f aca="false">AB15</f>
        <v>España</v>
      </c>
      <c r="F42" s="64" t="n">
        <v>2</v>
      </c>
      <c r="G42" s="65" t="n">
        <v>2</v>
      </c>
      <c r="H42" s="66" t="str">
        <f aca="false">AB16</f>
        <v>Marruecos</v>
      </c>
      <c r="J42" s="87" t="str">
        <f aca="false">VLOOKUP(4,AA38:AK41,2,0)</f>
        <v>Alemania</v>
      </c>
      <c r="K42" s="88" t="n">
        <f aca="false">L42+M42+N42</f>
        <v>3</v>
      </c>
      <c r="L42" s="88" t="n">
        <f aca="false">VLOOKUP(4,AA38:AK41,3,0)</f>
        <v>1</v>
      </c>
      <c r="M42" s="88" t="n">
        <f aca="false">VLOOKUP(4,AA38:AK41,4,0)</f>
        <v>0</v>
      </c>
      <c r="N42" s="88" t="n">
        <f aca="false">VLOOKUP(4,AA38:AK41,5,0)</f>
        <v>2</v>
      </c>
      <c r="O42" s="88" t="str">
        <f aca="false">VLOOKUP(4,AA38:AK41,6,0) &amp; " - " &amp; VLOOKUP(4,AA38:AK41,7,0)</f>
        <v>2 - 4</v>
      </c>
      <c r="P42" s="89" t="n">
        <f aca="false">L42*3+M42</f>
        <v>3</v>
      </c>
      <c r="R42" s="40" t="n">
        <f aca="false">DATE(2018,6,25)+TIME(7,0,0)+gmt_delta</f>
        <v>43276.5833333333</v>
      </c>
      <c r="S42" s="41" t="str">
        <f aca="false">IF(OR(F42="",G42=""),"",IF(F42&gt;G42,E42&amp;"_win",IF(F42&lt;G42,E42&amp;"_lose",E42&amp;"_draw")))</f>
        <v>España_draw</v>
      </c>
      <c r="T42" s="41" t="str">
        <f aca="false">IF(S42="","",IF(F42&lt;G42,H42&amp;"_win",IF(F42&gt;G42,H42&amp;"_lose",H42&amp;"_draw")))</f>
        <v>Marruecos_draw</v>
      </c>
      <c r="U42" s="42" t="n">
        <f aca="false">IF(S42="",0,IF(VLOOKUP(E42,$AB$8:$AK$53,7,0)=VLOOKUP(H42,$AB$8:$AK$53,7,0),1,0))</f>
        <v>0</v>
      </c>
      <c r="V42" s="40" t="n">
        <f aca="false">U42*F42</f>
        <v>0</v>
      </c>
      <c r="W42" s="40" t="n">
        <f aca="false">U42*G42</f>
        <v>0</v>
      </c>
      <c r="X42" s="40" t="n">
        <f aca="false">IF(OR(E42=my_team,H42=my_team),1,0)</f>
        <v>0</v>
      </c>
      <c r="Y42" s="40" t="n">
        <f aca="false">IF(OR(F42="",G42=""),"",IF(F42&gt;G42,1,IF(F42&lt;G42,-1,0)))</f>
        <v>0</v>
      </c>
      <c r="AC42" s="40" t="n">
        <f aca="false">MAX(AC38:AC41)-MIN(AC38:AC41)+1</f>
        <v>2</v>
      </c>
      <c r="AD42" s="40" t="n">
        <f aca="false">MAX(AD38:AD41)-MIN(AD38:AD41)+1</f>
        <v>1</v>
      </c>
      <c r="AE42" s="40" t="n">
        <f aca="false">MAX(AE38:AE41)-MIN(AE38:AE41)+1</f>
        <v>2</v>
      </c>
      <c r="AF42" s="40" t="n">
        <f aca="false">MAX(AF38:AF41)-MIN(AF38:AF41)+1</f>
        <v>4</v>
      </c>
      <c r="AG42" s="40" t="n">
        <f aca="false">MAX(AG38:AG41)-MIN(AG38:AG41)+1</f>
        <v>3</v>
      </c>
      <c r="AH42" s="40" t="n">
        <f aca="false">MAX(AH38:AH41)-AH43+1</f>
        <v>30504</v>
      </c>
      <c r="AI42" s="40" t="n">
        <f aca="false">MAX(AI38:AI41)-AI43+1</f>
        <v>6</v>
      </c>
      <c r="AK42" s="40" t="n">
        <f aca="false">MAX(AK38:AK41)-MIN(AK38:AK41)+1</f>
        <v>4</v>
      </c>
      <c r="AL42" s="40" t="n">
        <f aca="false">MAX(AL38:AL41)-MIN(AL38:AL41)+1</f>
        <v>1</v>
      </c>
      <c r="AP42" s="40" t="n">
        <f aca="false">MAX(AP38:AP41)-MIN(AP38:AP41)+1</f>
        <v>1</v>
      </c>
      <c r="AQ42" s="40" t="n">
        <f aca="false">MAX(AQ38:AQ41)-MIN(AQ38:AQ41)+1</f>
        <v>1</v>
      </c>
      <c r="AR42" s="40" t="n">
        <f aca="false">MAX(AR38:AR41)-MIN(AR38:AR41)+1</f>
        <v>1</v>
      </c>
      <c r="AS42" s="40" t="n">
        <f aca="false">MAX(AS38:AS41)-MIN(AS38:AS41)+1</f>
        <v>1</v>
      </c>
      <c r="AT42" s="40" t="n">
        <f aca="false">MAX(AT38:AT41)-MIN(AT38:AT41)+1</f>
        <v>1</v>
      </c>
      <c r="BJ42" s="100"/>
      <c r="BK42" s="100"/>
      <c r="BL42" s="100"/>
      <c r="BM42" s="100"/>
      <c r="BN42" s="100"/>
      <c r="BO42" s="101"/>
      <c r="BP42" s="101"/>
      <c r="BQ42" s="101"/>
      <c r="BR42" s="101"/>
      <c r="BS42" s="101"/>
      <c r="BT42" s="101"/>
    </row>
    <row r="43" customFormat="false" ht="15" hidden="false" customHeight="true" outlineLevel="0" collapsed="false">
      <c r="A43" s="59" t="n">
        <v>37</v>
      </c>
      <c r="B43" s="60" t="str">
        <f aca="false">INDEX(T,18+INT(MOD(R43-1,7)),lang)</f>
        <v>Tue</v>
      </c>
      <c r="C43" s="61" t="str">
        <f aca="false">INDEX(T,24+MONTH(R43),lang) &amp; " " &amp; DAY(R43) &amp; ", " &amp; YEAR(R43)</f>
        <v>Jun 26, 2018</v>
      </c>
      <c r="D43" s="62" t="n">
        <f aca="false">TIME(HOUR(R43),MINUTE(R43),0)</f>
        <v>0.416666666666667</v>
      </c>
      <c r="E43" s="63" t="str">
        <f aca="false">AB23</f>
        <v>Dinamarca</v>
      </c>
      <c r="F43" s="64" t="n">
        <v>0</v>
      </c>
      <c r="G43" s="65" t="n">
        <v>0</v>
      </c>
      <c r="H43" s="66" t="str">
        <f aca="false">AB20</f>
        <v>Francia</v>
      </c>
      <c r="R43" s="40" t="n">
        <f aca="false">DATE(2018,6,26)+TIME(3,0,0)+gmt_delta</f>
        <v>43277.4166666667</v>
      </c>
      <c r="S43" s="41" t="str">
        <f aca="false">IF(OR(F43="",G43=""),"",IF(F43&gt;G43,E43&amp;"_win",IF(F43&lt;G43,E43&amp;"_lose",E43&amp;"_draw")))</f>
        <v>Dinamarca_draw</v>
      </c>
      <c r="T43" s="41" t="str">
        <f aca="false">IF(S43="","",IF(F43&lt;G43,H43&amp;"_win",IF(F43&gt;G43,H43&amp;"_lose",H43&amp;"_draw")))</f>
        <v>Francia_draw</v>
      </c>
      <c r="U43" s="42" t="n">
        <f aca="false">IF(S43="",0,IF(VLOOKUP(E43,$AB$8:$AK$53,7,0)=VLOOKUP(H43,$AB$8:$AK$53,7,0),1,0))</f>
        <v>0</v>
      </c>
      <c r="V43" s="40" t="n">
        <f aca="false">U43*F43</f>
        <v>0</v>
      </c>
      <c r="W43" s="40" t="n">
        <f aca="false">U43*G43</f>
        <v>0</v>
      </c>
      <c r="X43" s="40" t="n">
        <f aca="false">IF(OR(E43=my_team,H43=my_team),1,0)</f>
        <v>0</v>
      </c>
      <c r="Y43" s="40" t="n">
        <f aca="false">IF(OR(F43="",G43=""),"",IF(F43&gt;G43,1,IF(F43&lt;G43,-1,0)))</f>
        <v>0</v>
      </c>
      <c r="AH43" s="40" t="n">
        <f aca="false">MIN(AH38:AH41)</f>
        <v>29802</v>
      </c>
      <c r="AI43" s="40" t="n">
        <f aca="false">MIN(AI38:AI41)</f>
        <v>-2</v>
      </c>
      <c r="AY43" s="102"/>
    </row>
    <row r="44" customFormat="false" ht="15" hidden="false" customHeight="true" outlineLevel="0" collapsed="false">
      <c r="A44" s="59" t="n">
        <v>38</v>
      </c>
      <c r="B44" s="60" t="str">
        <f aca="false">INDEX(T,18+INT(MOD(R44-1,7)),lang)</f>
        <v>Tue</v>
      </c>
      <c r="C44" s="61" t="str">
        <f aca="false">INDEX(T,24+MONTH(R44),lang) &amp; " " &amp; DAY(R44) &amp; ", " &amp; YEAR(R44)</f>
        <v>Jun 26, 2018</v>
      </c>
      <c r="D44" s="62" t="n">
        <f aca="false">TIME(HOUR(R44),MINUTE(R44),0)</f>
        <v>0.416666666666667</v>
      </c>
      <c r="E44" s="63" t="str">
        <f aca="false">AB21</f>
        <v>Australia</v>
      </c>
      <c r="F44" s="64" t="n">
        <v>0</v>
      </c>
      <c r="G44" s="65" t="n">
        <v>2</v>
      </c>
      <c r="H44" s="66" t="str">
        <f aca="false">AB22</f>
        <v>Perú</v>
      </c>
      <c r="J44" s="67" t="str">
        <f aca="false">INDEX(T,9,lang) &amp; " " &amp; "G"</f>
        <v>Grupo G</v>
      </c>
      <c r="K44" s="68" t="str">
        <f aca="false">INDEX(T,10,lang)</f>
        <v>J</v>
      </c>
      <c r="L44" s="68" t="str">
        <f aca="false">INDEX(T,11,lang)</f>
        <v>G</v>
      </c>
      <c r="M44" s="68" t="str">
        <f aca="false">INDEX(T,12,lang)</f>
        <v>DRAW</v>
      </c>
      <c r="N44" s="68" t="str">
        <f aca="false">INDEX(T,13,lang)</f>
        <v>P</v>
      </c>
      <c r="O44" s="68" t="str">
        <f aca="false">INDEX(T,14,lang)</f>
        <v>GF - GC</v>
      </c>
      <c r="P44" s="69" t="str">
        <f aca="false">INDEX(T,15,lang)</f>
        <v>PTS</v>
      </c>
      <c r="R44" s="40" t="n">
        <f aca="false">DATE(2018,6,26)+TIME(3,0,0)+gmt_delta</f>
        <v>43277.4166666667</v>
      </c>
      <c r="S44" s="41" t="str">
        <f aca="false">IF(OR(F44="",G44=""),"",IF(F44&gt;G44,E44&amp;"_win",IF(F44&lt;G44,E44&amp;"_lose",E44&amp;"_draw")))</f>
        <v>Australia_lose</v>
      </c>
      <c r="T44" s="41" t="str">
        <f aca="false">IF(S44="","",IF(F44&lt;G44,H44&amp;"_win",IF(F44&gt;G44,H44&amp;"_lose",H44&amp;"_draw")))</f>
        <v>Perú_win</v>
      </c>
      <c r="U44" s="42" t="n">
        <f aca="false">IF(S44="",0,IF(VLOOKUP(E44,$AB$8:$AK$53,7,0)=VLOOKUP(H44,$AB$8:$AK$53,7,0),1,0))</f>
        <v>0</v>
      </c>
      <c r="V44" s="40" t="n">
        <f aca="false">U44*F44</f>
        <v>0</v>
      </c>
      <c r="W44" s="40" t="n">
        <f aca="false">U44*G44</f>
        <v>0</v>
      </c>
      <c r="X44" s="40" t="n">
        <f aca="false">IF(OR(E44=my_team,H44=my_team),1,0)</f>
        <v>0</v>
      </c>
      <c r="Y44" s="40" t="n">
        <f aca="false">IF(OR(F44="",G44=""),"",IF(F44&gt;G44,1,IF(F44&lt;G44,-1,0)))</f>
        <v>-1</v>
      </c>
      <c r="AA44" s="40" t="n">
        <f aca="false">COUNTIF(AN44:AN47,CONCATENATE("&gt;=",AN44))</f>
        <v>1</v>
      </c>
      <c r="AB44" s="42" t="str">
        <f aca="false">VLOOKUP("Belgium",T,lang,0)</f>
        <v>Bélgica</v>
      </c>
      <c r="AC44" s="40" t="n">
        <f aca="false">COUNTIF($S$7:$T$54,"=" &amp; AB44 &amp; "_win")</f>
        <v>2</v>
      </c>
      <c r="AD44" s="40" t="n">
        <f aca="false">COUNTIF($S$7:$T$54,"=" &amp; AB44 &amp; "_draw")</f>
        <v>0</v>
      </c>
      <c r="AE44" s="40" t="n">
        <f aca="false">COUNTIF($S$7:$T$54,"=" &amp; AB44 &amp; "_lose")</f>
        <v>0</v>
      </c>
      <c r="AF44" s="40" t="n">
        <f aca="false">SUMIF($E$7:$E$54,$AB44,$F$7:$F$54) + SUMIF($H$7:$H$54,$AB44,$G$7:$G$54)</f>
        <v>8</v>
      </c>
      <c r="AG44" s="40" t="n">
        <f aca="false">SUMIF($E$7:$E$54,$AB44,$G$7:$G$54) + SUMIF($H$7:$H$54,$AB44,$F$7:$F$54)</f>
        <v>2</v>
      </c>
      <c r="AH44" s="40" t="n">
        <f aca="false">(AF44-AG44)*100+AK44*10000+AF44</f>
        <v>60608</v>
      </c>
      <c r="AI44" s="40" t="n">
        <f aca="false">AF44-AG44</f>
        <v>6</v>
      </c>
      <c r="AJ44" s="40" t="n">
        <f aca="false">(AI44-AI49)/AI48</f>
        <v>0.933333333333333</v>
      </c>
      <c r="AK44" s="40" t="n">
        <f aca="false">AC44*3+AD44</f>
        <v>6</v>
      </c>
      <c r="AL44" s="40" t="n">
        <f aca="false">AP44/AP48*1000+AQ44/AQ48*100+AT44/AT48*10+AR44/AR48</f>
        <v>0</v>
      </c>
      <c r="AM44" s="40" t="n">
        <f aca="false">VLOOKUP(AB44,db_fifarank,2,0)/2000000</f>
        <v>0.0006625</v>
      </c>
      <c r="AN44" s="42" t="n">
        <f aca="false">1000*AK44/AK48+100*AJ44+10*AF44/AF48+1*AL44/AL48+AM44</f>
        <v>960.476852976191</v>
      </c>
      <c r="AO44" s="43" t="str">
        <f aca="false">IF(SUM(AC44:AE47)=12,J45,INDEX(T,82,lang))</f>
        <v>1G</v>
      </c>
      <c r="AP44" s="44" t="n">
        <f aca="false">SUMPRODUCT(($S$7:$S$54=AB44&amp;"_win")*($U$7:$U$54))+SUMPRODUCT(($T$7:$T$54=AB44&amp;"_win")*($U$7:$U$54))</f>
        <v>0</v>
      </c>
      <c r="AQ44" s="44" t="n">
        <f aca="false">SUMPRODUCT(($S$7:$S$54=AB44&amp;"_draw")*($U$7:$U$54))+SUMPRODUCT(($T$7:$T$54=AB44&amp;"_draw")*($U$7:$U$54))</f>
        <v>0</v>
      </c>
      <c r="AR44" s="44" t="n">
        <f aca="false">SUMPRODUCT(($E$7:$E$54=AB44)*($U$7:$U$54)*($F$7:$F$54))+SUMPRODUCT(($H$7:$H$54=AB44)*($U$7:$U$54)*($G$7:$G$54))</f>
        <v>0</v>
      </c>
      <c r="AS44" s="44" t="n">
        <f aca="false">SUMPRODUCT(($E$7:$E$54=AB44)*($U$7:$U$54)*($G$7:$G$54))+SUMPRODUCT(($H$7:$H$54=AB44)*($U$7:$U$54)*($F$7:$F$54))</f>
        <v>0</v>
      </c>
      <c r="AT44" s="44" t="n">
        <f aca="false">AR44-AS44</f>
        <v>0</v>
      </c>
    </row>
    <row r="45" customFormat="false" ht="15" hidden="false" customHeight="true" outlineLevel="0" collapsed="false">
      <c r="A45" s="59" t="n">
        <v>39</v>
      </c>
      <c r="B45" s="60" t="str">
        <f aca="false">INDEX(T,18+INT(MOD(R45-1,7)),lang)</f>
        <v>Tue</v>
      </c>
      <c r="C45" s="61" t="str">
        <f aca="false">INDEX(T,24+MONTH(R45),lang) &amp; " " &amp; DAY(R45) &amp; ", " &amp; YEAR(R45)</f>
        <v>Jun 26, 2018</v>
      </c>
      <c r="D45" s="62" t="n">
        <f aca="false">TIME(HOUR(R45),MINUTE(R45),0)</f>
        <v>0.583333333333333</v>
      </c>
      <c r="E45" s="63" t="str">
        <f aca="false">AB29</f>
        <v>Nigeria</v>
      </c>
      <c r="F45" s="64" t="n">
        <v>1</v>
      </c>
      <c r="G45" s="65" t="n">
        <v>2</v>
      </c>
      <c r="H45" s="66" t="str">
        <f aca="false">AB26</f>
        <v>Argentina</v>
      </c>
      <c r="J45" s="71" t="str">
        <f aca="false">VLOOKUP(1,AA44:AK47,2,0)</f>
        <v>Bélgica</v>
      </c>
      <c r="K45" s="72" t="n">
        <f aca="false">L45+M45+N45</f>
        <v>2</v>
      </c>
      <c r="L45" s="72" t="n">
        <f aca="false">VLOOKUP(1,AA44:AK47,3,0)</f>
        <v>2</v>
      </c>
      <c r="M45" s="72" t="n">
        <f aca="false">VLOOKUP(1,AA44:AK47,4,0)</f>
        <v>0</v>
      </c>
      <c r="N45" s="72" t="n">
        <f aca="false">VLOOKUP(1,AA44:AK47,5,0)</f>
        <v>0</v>
      </c>
      <c r="O45" s="72" t="str">
        <f aca="false">VLOOKUP(1,AA44:AK47,6,0) &amp; " - " &amp; VLOOKUP(1,AA44:AK47,7,0)</f>
        <v>8 - 2</v>
      </c>
      <c r="P45" s="73" t="n">
        <f aca="false">L45*3+M45</f>
        <v>6</v>
      </c>
      <c r="R45" s="40" t="n">
        <f aca="false">DATE(2018,6,26)+TIME(7,0,0)+gmt_delta</f>
        <v>43277.5833333333</v>
      </c>
      <c r="S45" s="41" t="str">
        <f aca="false">IF(OR(F45="",G45=""),"",IF(F45&gt;G45,E45&amp;"_win",IF(F45&lt;G45,E45&amp;"_lose",E45&amp;"_draw")))</f>
        <v>Nigeria_lose</v>
      </c>
      <c r="T45" s="41" t="str">
        <f aca="false">IF(S45="","",IF(F45&lt;G45,H45&amp;"_win",IF(F45&gt;G45,H45&amp;"_lose",H45&amp;"_draw")))</f>
        <v>Argentina_win</v>
      </c>
      <c r="U45" s="42" t="n">
        <f aca="false">IF(S45="",0,IF(VLOOKUP(E45,$AB$8:$AK$53,7,0)=VLOOKUP(H45,$AB$8:$AK$53,7,0),1,0))</f>
        <v>0</v>
      </c>
      <c r="V45" s="40" t="n">
        <f aca="false">U45*F45</f>
        <v>0</v>
      </c>
      <c r="W45" s="40" t="n">
        <f aca="false">U45*G45</f>
        <v>0</v>
      </c>
      <c r="X45" s="40" t="n">
        <f aca="false">IF(OR(E45=my_team,H45=my_team),1,0)</f>
        <v>0</v>
      </c>
      <c r="Y45" s="40" t="n">
        <f aca="false">IF(OR(F45="",G45=""),"",IF(F45&gt;G45,1,IF(F45&lt;G45,-1,0)))</f>
        <v>-1</v>
      </c>
      <c r="AA45" s="40" t="n">
        <f aca="false">COUNTIF(AN44:AN47,CONCATENATE("&gt;=",AN45))</f>
        <v>4</v>
      </c>
      <c r="AB45" s="42" t="str">
        <f aca="false">VLOOKUP("Panama",T,lang,0)</f>
        <v>Panamá</v>
      </c>
      <c r="AC45" s="40" t="n">
        <f aca="false">COUNTIF($S$7:$T$54,"=" &amp; AB45 &amp; "_win")</f>
        <v>0</v>
      </c>
      <c r="AD45" s="40" t="n">
        <f aca="false">COUNTIF($S$7:$T$54,"=" &amp; AB45 &amp; "_draw")</f>
        <v>0</v>
      </c>
      <c r="AE45" s="40" t="n">
        <f aca="false">COUNTIF($S$7:$T$54,"=" &amp; AB45 &amp; "_lose")</f>
        <v>2</v>
      </c>
      <c r="AF45" s="40" t="n">
        <f aca="false">SUMIF($E$7:$E$54,$AB45,$F$7:$F$54) + SUMIF($H$7:$H$54,$AB45,$G$7:$G$54)</f>
        <v>1</v>
      </c>
      <c r="AG45" s="40" t="n">
        <f aca="false">SUMIF($E$7:$E$54,$AB45,$G$7:$G$54) + SUMIF($H$7:$H$54,$AB45,$F$7:$F$54)</f>
        <v>9</v>
      </c>
      <c r="AH45" s="40" t="n">
        <f aca="false">(AF45-AG45)*100+AK45*10000+AF45</f>
        <v>-799</v>
      </c>
      <c r="AI45" s="40" t="n">
        <f aca="false">AF45-AG45</f>
        <v>-8</v>
      </c>
      <c r="AJ45" s="40" t="n">
        <f aca="false">(AI45-AI49)/AI48</f>
        <v>0</v>
      </c>
      <c r="AK45" s="40" t="n">
        <f aca="false">AC45*3+AD45</f>
        <v>0</v>
      </c>
      <c r="AL45" s="40" t="n">
        <f aca="false">AP45/AP48*1000+AQ45/AQ48*100+AT45/AT48*10+AR45/AR48</f>
        <v>0</v>
      </c>
      <c r="AM45" s="40" t="n">
        <f aca="false">VLOOKUP(AB45,db_fifarank,2,0)/2000000</f>
        <v>0.0003105</v>
      </c>
      <c r="AN45" s="42" t="n">
        <f aca="false">1000*AK45/AK48+100*AJ45+10*AF45/AF48+1*AL45/AL48+AM45</f>
        <v>1.2503105</v>
      </c>
      <c r="AO45" s="43" t="str">
        <f aca="false">IF(SUM(AC44:AE47)=12,J46,INDEX(T,83,lang))</f>
        <v>2G</v>
      </c>
      <c r="AP45" s="44" t="n">
        <f aca="false">SUMPRODUCT(($S$7:$S$54=AB45&amp;"_win")*($U$7:$U$54))+SUMPRODUCT(($T$7:$T$54=AB45&amp;"_win")*($U$7:$U$54))</f>
        <v>0</v>
      </c>
      <c r="AQ45" s="44" t="n">
        <f aca="false">SUMPRODUCT(($S$7:$S$54=AB45&amp;"_draw")*($U$7:$U$54))+SUMPRODUCT(($T$7:$T$54=AB45&amp;"_draw")*($U$7:$U$54))</f>
        <v>0</v>
      </c>
      <c r="AR45" s="44" t="n">
        <f aca="false">SUMPRODUCT(($E$7:$E$54=AB45)*($U$7:$U$54)*($F$7:$F$54))+SUMPRODUCT(($H$7:$H$54=AB45)*($U$7:$U$54)*($G$7:$G$54))</f>
        <v>0</v>
      </c>
      <c r="AS45" s="44" t="n">
        <f aca="false">SUMPRODUCT(($E$7:$E$54=AB45)*($U$7:$U$54)*($G$7:$G$54))+SUMPRODUCT(($H$7:$H$54=AB45)*($U$7:$U$54)*($F$7:$F$54))</f>
        <v>0</v>
      </c>
      <c r="AT45" s="44" t="n">
        <f aca="false">AR45-AS45</f>
        <v>0</v>
      </c>
    </row>
    <row r="46" customFormat="false" ht="15" hidden="false" customHeight="true" outlineLevel="0" collapsed="false">
      <c r="A46" s="59" t="n">
        <v>40</v>
      </c>
      <c r="B46" s="60" t="str">
        <f aca="false">INDEX(T,18+INT(MOD(R46-1,7)),lang)</f>
        <v>Tue</v>
      </c>
      <c r="C46" s="61" t="str">
        <f aca="false">INDEX(T,24+MONTH(R46),lang) &amp; " " &amp; DAY(R46) &amp; ", " &amp; YEAR(R46)</f>
        <v>Jun 26, 2018</v>
      </c>
      <c r="D46" s="62" t="n">
        <f aca="false">TIME(HOUR(R46),MINUTE(R46),0)</f>
        <v>0.583333333333333</v>
      </c>
      <c r="E46" s="63" t="str">
        <f aca="false">AB27</f>
        <v>Islandia</v>
      </c>
      <c r="F46" s="64" t="n">
        <v>1</v>
      </c>
      <c r="G46" s="65" t="n">
        <v>1</v>
      </c>
      <c r="H46" s="66" t="str">
        <f aca="false">AB28</f>
        <v>Croacia</v>
      </c>
      <c r="J46" s="75" t="str">
        <f aca="false">VLOOKUP(2,AA44:AK47,2,0)</f>
        <v>Inglaterra</v>
      </c>
      <c r="K46" s="76" t="n">
        <f aca="false">L46+M46+N46</f>
        <v>2</v>
      </c>
      <c r="L46" s="76" t="n">
        <f aca="false">VLOOKUP(2,AA44:AK47,3,0)</f>
        <v>2</v>
      </c>
      <c r="M46" s="76" t="n">
        <f aca="false">VLOOKUP(2,AA44:AK47,4,0)</f>
        <v>0</v>
      </c>
      <c r="N46" s="76" t="n">
        <f aca="false">VLOOKUP(2,AA44:AK47,5,0)</f>
        <v>0</v>
      </c>
      <c r="O46" s="76" t="str">
        <f aca="false">VLOOKUP(2,AA44:AK47,6,0) &amp; " - " &amp; VLOOKUP(2,AA44:AK47,7,0)</f>
        <v>8 - 2</v>
      </c>
      <c r="P46" s="77" t="n">
        <f aca="false">L46*3+M46</f>
        <v>6</v>
      </c>
      <c r="R46" s="40" t="n">
        <f aca="false">DATE(2018,6,26)+TIME(7,0,0)+gmt_delta</f>
        <v>43277.5833333333</v>
      </c>
      <c r="S46" s="41" t="str">
        <f aca="false">IF(OR(F46="",G46=""),"",IF(F46&gt;G46,E46&amp;"_win",IF(F46&lt;G46,E46&amp;"_lose",E46&amp;"_draw")))</f>
        <v>Islandia_draw</v>
      </c>
      <c r="T46" s="41" t="str">
        <f aca="false">IF(S46="","",IF(F46&lt;G46,H46&amp;"_win",IF(F46&gt;G46,H46&amp;"_lose",H46&amp;"_draw")))</f>
        <v>Croacia_draw</v>
      </c>
      <c r="U46" s="42" t="n">
        <f aca="false">IF(S46="",0,IF(VLOOKUP(E46,$AB$8:$AK$53,7,0)=VLOOKUP(H46,$AB$8:$AK$53,7,0),1,0))</f>
        <v>0</v>
      </c>
      <c r="V46" s="40" t="n">
        <f aca="false">U46*F46</f>
        <v>0</v>
      </c>
      <c r="W46" s="40" t="n">
        <f aca="false">U46*G46</f>
        <v>0</v>
      </c>
      <c r="X46" s="40" t="n">
        <f aca="false">IF(OR(E46=my_team,H46=my_team),1,0)</f>
        <v>0</v>
      </c>
      <c r="Y46" s="40" t="n">
        <f aca="false">IF(OR(F46="",G46=""),"",IF(F46&gt;G46,1,IF(F46&lt;G46,-1,0)))</f>
        <v>0</v>
      </c>
      <c r="AA46" s="40" t="n">
        <f aca="false">COUNTIF(AN44:AN47,CONCATENATE("&gt;=",AN46))</f>
        <v>3</v>
      </c>
      <c r="AB46" s="42" t="str">
        <f aca="false">VLOOKUP("Tunisia",T,lang,0)</f>
        <v>Túnez</v>
      </c>
      <c r="AC46" s="40" t="n">
        <f aca="false">COUNTIF($S$7:$T$54,"=" &amp; AB46 &amp; "_win")</f>
        <v>0</v>
      </c>
      <c r="AD46" s="40" t="n">
        <f aca="false">COUNTIF($S$7:$T$54,"=" &amp; AB46 &amp; "_draw")</f>
        <v>0</v>
      </c>
      <c r="AE46" s="40" t="n">
        <f aca="false">COUNTIF($S$7:$T$54,"=" &amp; AB46 &amp; "_lose")</f>
        <v>2</v>
      </c>
      <c r="AF46" s="40" t="n">
        <f aca="false">SUMIF($E$7:$E$54,$AB46,$F$7:$F$54) + SUMIF($H$7:$H$54,$AB46,$G$7:$G$54)</f>
        <v>3</v>
      </c>
      <c r="AG46" s="40" t="n">
        <f aca="false">SUMIF($E$7:$E$54,$AB46,$G$7:$G$54) + SUMIF($H$7:$H$54,$AB46,$F$7:$F$54)</f>
        <v>7</v>
      </c>
      <c r="AH46" s="40" t="n">
        <f aca="false">(AF46-AG46)*100+AK46*10000+AF46</f>
        <v>-397</v>
      </c>
      <c r="AI46" s="40" t="n">
        <f aca="false">AF46-AG46</f>
        <v>-4</v>
      </c>
      <c r="AJ46" s="40" t="n">
        <f aca="false">(AI46-AI49)/AI48</f>
        <v>0.266666666666667</v>
      </c>
      <c r="AK46" s="40" t="n">
        <f aca="false">AC46*3+AD46</f>
        <v>0</v>
      </c>
      <c r="AL46" s="40" t="n">
        <f aca="false">AP46/AP48*1000+AQ46/AQ48*100+AT46/AT48*10+AR46/AR48</f>
        <v>0</v>
      </c>
      <c r="AM46" s="40" t="n">
        <f aca="false">VLOOKUP(AB46,db_fifarank,2,0)/2000000</f>
        <v>0.000419</v>
      </c>
      <c r="AN46" s="42" t="n">
        <f aca="false">1000*AK46/AK48+100*AJ46+10*AF46/AF48+1*AL46/AL48+AM46</f>
        <v>30.4170856666667</v>
      </c>
      <c r="AP46" s="44" t="n">
        <f aca="false">SUMPRODUCT(($S$7:$S$54=AB46&amp;"_win")*($U$7:$U$54))+SUMPRODUCT(($T$7:$T$54=AB46&amp;"_win")*($U$7:$U$54))</f>
        <v>0</v>
      </c>
      <c r="AQ46" s="44" t="n">
        <f aca="false">SUMPRODUCT(($S$7:$S$54=AB46&amp;"_draw")*($U$7:$U$54))+SUMPRODUCT(($T$7:$T$54=AB46&amp;"_draw")*($U$7:$U$54))</f>
        <v>0</v>
      </c>
      <c r="AR46" s="44" t="n">
        <f aca="false">SUMPRODUCT(($E$7:$E$54=AB46)*($U$7:$U$54)*($F$7:$F$54))+SUMPRODUCT(($H$7:$H$54=AB46)*($U$7:$U$54)*($G$7:$G$54))</f>
        <v>0</v>
      </c>
      <c r="AS46" s="44" t="n">
        <f aca="false">SUMPRODUCT(($E$7:$E$54=AB46)*($U$7:$U$54)*($G$7:$G$54))+SUMPRODUCT(($H$7:$H$54=AB46)*($U$7:$U$54)*($F$7:$F$54))</f>
        <v>0</v>
      </c>
      <c r="AT46" s="44" t="n">
        <f aca="false">AR46-AS46</f>
        <v>0</v>
      </c>
      <c r="AY46" s="103" t="s">
        <v>2559</v>
      </c>
      <c r="AZ46" s="103"/>
      <c r="BA46" s="103"/>
      <c r="BB46" s="103"/>
    </row>
    <row r="47" customFormat="false" ht="15" hidden="false" customHeight="true" outlineLevel="0" collapsed="false">
      <c r="A47" s="59" t="n">
        <v>41</v>
      </c>
      <c r="B47" s="60" t="str">
        <f aca="false">INDEX(T,18+INT(MOD(R47-1,7)),lang)</f>
        <v>Wed</v>
      </c>
      <c r="C47" s="61" t="str">
        <f aca="false">INDEX(T,24+MONTH(R47),lang) &amp; " " &amp; DAY(R47) &amp; ", " &amp; YEAR(R47)</f>
        <v>Jun 27, 2018</v>
      </c>
      <c r="D47" s="62" t="n">
        <f aca="false">TIME(HOUR(R47),MINUTE(R47),0)</f>
        <v>0.583333333333333</v>
      </c>
      <c r="E47" s="63" t="str">
        <f aca="false">AB35</f>
        <v>Serbia</v>
      </c>
      <c r="F47" s="64" t="n">
        <v>0</v>
      </c>
      <c r="G47" s="65" t="n">
        <v>2</v>
      </c>
      <c r="H47" s="66" t="str">
        <f aca="false">AB32</f>
        <v>Brasil</v>
      </c>
      <c r="J47" s="75" t="str">
        <f aca="false">VLOOKUP(3,AA44:AK47,2,0)</f>
        <v>Túnez</v>
      </c>
      <c r="K47" s="76" t="n">
        <f aca="false">L47+M47+N47</f>
        <v>2</v>
      </c>
      <c r="L47" s="76" t="n">
        <f aca="false">VLOOKUP(3,AA44:AK47,3,0)</f>
        <v>0</v>
      </c>
      <c r="M47" s="76" t="n">
        <f aca="false">VLOOKUP(3,AA44:AK47,4,0)</f>
        <v>0</v>
      </c>
      <c r="N47" s="76" t="n">
        <f aca="false">VLOOKUP(3,AA44:AK47,5,0)</f>
        <v>2</v>
      </c>
      <c r="O47" s="76" t="str">
        <f aca="false">VLOOKUP(3,AA44:AK47,6,0) &amp; " - " &amp; VLOOKUP(3,AA44:AK47,7,0)</f>
        <v>3 - 7</v>
      </c>
      <c r="P47" s="77" t="n">
        <f aca="false">L47*3+M47</f>
        <v>0</v>
      </c>
      <c r="R47" s="40" t="n">
        <f aca="false">DATE(2018,6,27)+TIME(7,0,0)+gmt_delta</f>
        <v>43278.5833333333</v>
      </c>
      <c r="S47" s="41" t="str">
        <f aca="false">IF(OR(F47="",G47=""),"",IF(F47&gt;G47,E47&amp;"_win",IF(F47&lt;G47,E47&amp;"_lose",E47&amp;"_draw")))</f>
        <v>Serbia_lose</v>
      </c>
      <c r="T47" s="41" t="str">
        <f aca="false">IF(S47="","",IF(F47&lt;G47,H47&amp;"_win",IF(F47&gt;G47,H47&amp;"_lose",H47&amp;"_draw")))</f>
        <v>Brasil_win</v>
      </c>
      <c r="U47" s="42" t="n">
        <f aca="false">IF(S47="",0,IF(VLOOKUP(E47,$AB$8:$AK$53,7,0)=VLOOKUP(H47,$AB$8:$AK$53,7,0),1,0))</f>
        <v>0</v>
      </c>
      <c r="V47" s="40" t="n">
        <f aca="false">U47*F47</f>
        <v>0</v>
      </c>
      <c r="W47" s="40" t="n">
        <f aca="false">U47*G47</f>
        <v>0</v>
      </c>
      <c r="X47" s="40" t="n">
        <f aca="false">IF(OR(E47=my_team,H47=my_team),1,0)</f>
        <v>0</v>
      </c>
      <c r="Y47" s="40" t="n">
        <f aca="false">IF(OR(F47="",G47=""),"",IF(F47&gt;G47,1,IF(F47&lt;G47,-1,0)))</f>
        <v>-1</v>
      </c>
      <c r="AA47" s="40" t="n">
        <f aca="false">COUNTIF(AN44:AN47,CONCATENATE("&gt;=",AN47))</f>
        <v>2</v>
      </c>
      <c r="AB47" s="42" t="str">
        <f aca="false">VLOOKUP("England",T,lang,0)</f>
        <v>Inglaterra</v>
      </c>
      <c r="AC47" s="40" t="n">
        <f aca="false">COUNTIF($S$7:$T$54,"=" &amp; AB47 &amp; "_win")</f>
        <v>2</v>
      </c>
      <c r="AD47" s="40" t="n">
        <f aca="false">COUNTIF($S$7:$T$54,"=" &amp; AB47 &amp; "_draw")</f>
        <v>0</v>
      </c>
      <c r="AE47" s="40" t="n">
        <f aca="false">COUNTIF($S$7:$T$54,"=" &amp; AB47 &amp; "_lose")</f>
        <v>0</v>
      </c>
      <c r="AF47" s="40" t="n">
        <f aca="false">SUMIF($E$7:$E$54,$AB47,$F$7:$F$54) + SUMIF($H$7:$H$54,$AB47,$G$7:$G$54)</f>
        <v>8</v>
      </c>
      <c r="AG47" s="40" t="n">
        <f aca="false">SUMIF($E$7:$E$54,$AB47,$G$7:$G$54) + SUMIF($H$7:$H$54,$AB47,$F$7:$F$54)</f>
        <v>2</v>
      </c>
      <c r="AH47" s="40" t="n">
        <f aca="false">(AF47-AG47)*100+AK47*10000+AF47</f>
        <v>60608</v>
      </c>
      <c r="AI47" s="40" t="n">
        <f aca="false">AF47-AG47</f>
        <v>6</v>
      </c>
      <c r="AJ47" s="40" t="n">
        <f aca="false">(AI47-AI49)/AI48</f>
        <v>0.933333333333333</v>
      </c>
      <c r="AK47" s="40" t="n">
        <f aca="false">AC47*3+AD47</f>
        <v>6</v>
      </c>
      <c r="AL47" s="40" t="n">
        <f aca="false">AP47/AP48*1000+AQ47/AQ48*100+AT47/AT48*10+AR47/AR48</f>
        <v>0</v>
      </c>
      <c r="AM47" s="40" t="n">
        <f aca="false">VLOOKUP(AB47,db_fifarank,2,0)/2000000</f>
        <v>0.0005235</v>
      </c>
      <c r="AN47" s="42" t="n">
        <f aca="false">1000*AK47/AK48+100*AJ47+10*AF47/AF48+1*AL47/AL48+AM47</f>
        <v>960.47671397619</v>
      </c>
      <c r="AP47" s="44" t="n">
        <f aca="false">SUMPRODUCT(($S$7:$S$54=AB47&amp;"_win")*($U$7:$U$54))+SUMPRODUCT(($T$7:$T$54=AB47&amp;"_win")*($U$7:$U$54))</f>
        <v>0</v>
      </c>
      <c r="AQ47" s="44" t="n">
        <f aca="false">SUMPRODUCT(($S$7:$S$54=AB47&amp;"_draw")*($U$7:$U$54))+SUMPRODUCT(($T$7:$T$54=AB47&amp;"_draw")*($U$7:$U$54))</f>
        <v>0</v>
      </c>
      <c r="AR47" s="44" t="n">
        <f aca="false">SUMPRODUCT(($E$7:$E$54=AB47)*($U$7:$U$54)*($F$7:$F$54))+SUMPRODUCT(($H$7:$H$54=AB47)*($U$7:$U$54)*($G$7:$G$54))</f>
        <v>0</v>
      </c>
      <c r="AS47" s="44" t="n">
        <f aca="false">SUMPRODUCT(($E$7:$E$54=AB47)*($U$7:$U$54)*($G$7:$G$54))+SUMPRODUCT(($H$7:$H$54=AB47)*($U$7:$U$54)*($F$7:$F$54))</f>
        <v>0</v>
      </c>
      <c r="AT47" s="44" t="n">
        <f aca="false">AR47-AS47</f>
        <v>0</v>
      </c>
      <c r="AY47" s="103"/>
      <c r="AZ47" s="103"/>
      <c r="BA47" s="103"/>
      <c r="BB47" s="103"/>
    </row>
    <row r="48" customFormat="false" ht="15" hidden="false" customHeight="true" outlineLevel="0" collapsed="false">
      <c r="A48" s="59" t="n">
        <v>42</v>
      </c>
      <c r="B48" s="60" t="str">
        <f aca="false">INDEX(T,18+INT(MOD(R48-1,7)),lang)</f>
        <v>Wed</v>
      </c>
      <c r="C48" s="61" t="str">
        <f aca="false">INDEX(T,24+MONTH(R48),lang) &amp; " " &amp; DAY(R48) &amp; ", " &amp; YEAR(R48)</f>
        <v>Jun 27, 2018</v>
      </c>
      <c r="D48" s="62" t="n">
        <f aca="false">TIME(HOUR(R48),MINUTE(R48),0)</f>
        <v>0.583333333333333</v>
      </c>
      <c r="E48" s="63" t="str">
        <f aca="false">AB33</f>
        <v>Suiza</v>
      </c>
      <c r="F48" s="64" t="n">
        <v>1</v>
      </c>
      <c r="G48" s="65" t="n">
        <v>1</v>
      </c>
      <c r="H48" s="66" t="str">
        <f aca="false">AB34</f>
        <v>Costa Rica</v>
      </c>
      <c r="J48" s="87" t="str">
        <f aca="false">VLOOKUP(4,AA44:AK47,2,0)</f>
        <v>Panamá</v>
      </c>
      <c r="K48" s="88" t="n">
        <f aca="false">L48+M48+N48</f>
        <v>2</v>
      </c>
      <c r="L48" s="88" t="n">
        <f aca="false">VLOOKUP(4,AA44:AK47,3,0)</f>
        <v>0</v>
      </c>
      <c r="M48" s="88" t="n">
        <f aca="false">VLOOKUP(4,AA44:AK47,4,0)</f>
        <v>0</v>
      </c>
      <c r="N48" s="88" t="n">
        <f aca="false">VLOOKUP(4,AA44:AK47,5,0)</f>
        <v>2</v>
      </c>
      <c r="O48" s="88" t="str">
        <f aca="false">VLOOKUP(4,AA44:AK47,6,0) &amp; " - " &amp; VLOOKUP(4,AA44:AK47,7,0)</f>
        <v>1 - 9</v>
      </c>
      <c r="P48" s="89" t="n">
        <f aca="false">L48*3+M48</f>
        <v>0</v>
      </c>
      <c r="R48" s="40" t="n">
        <f aca="false">DATE(2018,6,27)+TIME(7,0,0)+gmt_delta</f>
        <v>43278.5833333333</v>
      </c>
      <c r="S48" s="41" t="str">
        <f aca="false">IF(OR(F48="",G48=""),"",IF(F48&gt;G48,E48&amp;"_win",IF(F48&lt;G48,E48&amp;"_lose",E48&amp;"_draw")))</f>
        <v>Suiza_draw</v>
      </c>
      <c r="T48" s="41" t="str">
        <f aca="false">IF(S48="","",IF(F48&lt;G48,H48&amp;"_win",IF(F48&gt;G48,H48&amp;"_lose",H48&amp;"_draw")))</f>
        <v>Costa Rica_draw</v>
      </c>
      <c r="U48" s="42" t="n">
        <f aca="false">IF(S48="",0,IF(VLOOKUP(E48,$AB$8:$AK$53,7,0)=VLOOKUP(H48,$AB$8:$AK$53,7,0),1,0))</f>
        <v>0</v>
      </c>
      <c r="V48" s="40" t="n">
        <f aca="false">U48*F48</f>
        <v>0</v>
      </c>
      <c r="W48" s="40" t="n">
        <f aca="false">U48*G48</f>
        <v>0</v>
      </c>
      <c r="X48" s="40" t="n">
        <f aca="false">IF(OR(E48=my_team,H48=my_team),1,0)</f>
        <v>0</v>
      </c>
      <c r="Y48" s="40" t="n">
        <f aca="false">IF(OR(F48="",G48=""),"",IF(F48&gt;G48,1,IF(F48&lt;G48,-1,0)))</f>
        <v>0</v>
      </c>
      <c r="AC48" s="40" t="n">
        <f aca="false">MAX(AC44:AC47)-MIN(AC44:AC47)+1</f>
        <v>3</v>
      </c>
      <c r="AD48" s="40" t="n">
        <f aca="false">MAX(AD44:AD47)-MIN(AD44:AD47)+1</f>
        <v>1</v>
      </c>
      <c r="AE48" s="40" t="n">
        <f aca="false">MAX(AE44:AE47)-MIN(AE44:AE47)+1</f>
        <v>3</v>
      </c>
      <c r="AF48" s="40" t="n">
        <f aca="false">MAX(AF44:AF47)-MIN(AF44:AF47)+1</f>
        <v>8</v>
      </c>
      <c r="AG48" s="40" t="n">
        <f aca="false">MAX(AG44:AG47)-MIN(AG44:AG47)+1</f>
        <v>8</v>
      </c>
      <c r="AH48" s="40" t="n">
        <f aca="false">MAX(AH44:AH47)-AH49+1</f>
        <v>61408</v>
      </c>
      <c r="AI48" s="40" t="n">
        <f aca="false">MAX(AI44:AI47)-AI49+1</f>
        <v>15</v>
      </c>
      <c r="AK48" s="40" t="n">
        <f aca="false">MAX(AK44:AK47)-MIN(AK44:AK47)+1</f>
        <v>7</v>
      </c>
      <c r="AL48" s="40" t="n">
        <f aca="false">MAX(AL44:AL47)-MIN(AL44:AL47)+1</f>
        <v>1</v>
      </c>
      <c r="AP48" s="40" t="n">
        <f aca="false">MAX(AP44:AP47)-MIN(AP44:AP47)+1</f>
        <v>1</v>
      </c>
      <c r="AQ48" s="40" t="n">
        <f aca="false">MAX(AQ44:AQ47)-MIN(AQ44:AQ47)+1</f>
        <v>1</v>
      </c>
      <c r="AR48" s="40" t="n">
        <f aca="false">MAX(AR44:AR47)-MIN(AR44:AR47)+1</f>
        <v>1</v>
      </c>
      <c r="AS48" s="40" t="n">
        <f aca="false">MAX(AS44:AS47)-MIN(AS44:AS47)+1</f>
        <v>1</v>
      </c>
      <c r="AT48" s="40" t="n">
        <f aca="false">MAX(AT44:AT47)-MIN(AT44:AT47)+1</f>
        <v>1</v>
      </c>
      <c r="AY48" s="103"/>
      <c r="AZ48" s="103"/>
      <c r="BA48" s="103"/>
      <c r="BB48" s="103"/>
    </row>
    <row r="49" customFormat="false" ht="15" hidden="false" customHeight="true" outlineLevel="0" collapsed="false">
      <c r="A49" s="59" t="n">
        <v>43</v>
      </c>
      <c r="B49" s="60" t="str">
        <f aca="false">INDEX(T,18+INT(MOD(R49-1,7)),lang)</f>
        <v>Wed</v>
      </c>
      <c r="C49" s="61" t="str">
        <f aca="false">INDEX(T,24+MONTH(R49),lang) &amp; " " &amp; DAY(R49) &amp; ", " &amp; YEAR(R49)</f>
        <v>Jun 27, 2018</v>
      </c>
      <c r="D49" s="62" t="n">
        <f aca="false">TIME(HOUR(R49),MINUTE(R49),0)</f>
        <v>0.416666666666667</v>
      </c>
      <c r="E49" s="63" t="str">
        <f aca="false">AB41</f>
        <v>República de Corea</v>
      </c>
      <c r="F49" s="64" t="n">
        <v>2</v>
      </c>
      <c r="G49" s="65" t="n">
        <v>0</v>
      </c>
      <c r="H49" s="66" t="str">
        <f aca="false">AB38</f>
        <v>Alemania</v>
      </c>
      <c r="R49" s="40" t="n">
        <f aca="false">DATE(2018,6,27)+TIME(3,0,0)+gmt_delta</f>
        <v>43278.4166666667</v>
      </c>
      <c r="S49" s="41" t="str">
        <f aca="false">IF(OR(F49="",G49=""),"",IF(F49&gt;G49,E49&amp;"_win",IF(F49&lt;G49,E49&amp;"_lose",E49&amp;"_draw")))</f>
        <v>República de Corea_win</v>
      </c>
      <c r="T49" s="41" t="str">
        <f aca="false">IF(S49="","",IF(F49&lt;G49,H49&amp;"_win",IF(F49&gt;G49,H49&amp;"_lose",H49&amp;"_draw")))</f>
        <v>Alemania_lose</v>
      </c>
      <c r="U49" s="42" t="n">
        <f aca="false">IF(S49="",0,IF(VLOOKUP(E49,$AB$8:$AK$53,7,0)=VLOOKUP(H49,$AB$8:$AK$53,7,0),1,0))</f>
        <v>0</v>
      </c>
      <c r="V49" s="40" t="n">
        <f aca="false">U49*F49</f>
        <v>0</v>
      </c>
      <c r="W49" s="40" t="n">
        <f aca="false">U49*G49</f>
        <v>0</v>
      </c>
      <c r="X49" s="40" t="n">
        <f aca="false">IF(OR(E49=my_team,H49=my_team),1,0)</f>
        <v>1</v>
      </c>
      <c r="Y49" s="40" t="n">
        <f aca="false">IF(OR(F49="",G49=""),"",IF(F49&gt;G49,1,IF(F49&lt;G49,-1,0)))</f>
        <v>1</v>
      </c>
      <c r="AH49" s="40" t="n">
        <f aca="false">MIN(AH44:AH47)</f>
        <v>-799</v>
      </c>
      <c r="AI49" s="40" t="n">
        <f aca="false">MIN(AI44:AI47)</f>
        <v>-8</v>
      </c>
      <c r="AY49" s="103"/>
      <c r="AZ49" s="103"/>
      <c r="BA49" s="103"/>
      <c r="BB49" s="103"/>
    </row>
    <row r="50" customFormat="false" ht="15" hidden="false" customHeight="true" outlineLevel="0" collapsed="false">
      <c r="A50" s="59" t="n">
        <v>44</v>
      </c>
      <c r="B50" s="60" t="str">
        <f aca="false">INDEX(T,18+INT(MOD(R50-1,7)),lang)</f>
        <v>Wed</v>
      </c>
      <c r="C50" s="61" t="str">
        <f aca="false">INDEX(T,24+MONTH(R50),lang) &amp; " " &amp; DAY(R50) &amp; ", " &amp; YEAR(R50)</f>
        <v>Jun 27, 2018</v>
      </c>
      <c r="D50" s="62" t="n">
        <f aca="false">TIME(HOUR(R50),MINUTE(R50),0)</f>
        <v>0.416666666666667</v>
      </c>
      <c r="E50" s="63" t="str">
        <f aca="false">AB39</f>
        <v>México</v>
      </c>
      <c r="F50" s="64" t="n">
        <v>0</v>
      </c>
      <c r="G50" s="65" t="n">
        <v>3</v>
      </c>
      <c r="H50" s="66" t="str">
        <f aca="false">AB40</f>
        <v>Suecia</v>
      </c>
      <c r="J50" s="67" t="str">
        <f aca="false">INDEX(T,9,lang) &amp; " " &amp; "H"</f>
        <v>Grupo H</v>
      </c>
      <c r="K50" s="68" t="str">
        <f aca="false">INDEX(T,10,lang)</f>
        <v>J</v>
      </c>
      <c r="L50" s="68" t="str">
        <f aca="false">INDEX(T,11,lang)</f>
        <v>G</v>
      </c>
      <c r="M50" s="68" t="str">
        <f aca="false">INDEX(T,12,lang)</f>
        <v>DRAW</v>
      </c>
      <c r="N50" s="68" t="str">
        <f aca="false">INDEX(T,13,lang)</f>
        <v>P</v>
      </c>
      <c r="O50" s="68" t="str">
        <f aca="false">INDEX(T,14,lang)</f>
        <v>GF - GC</v>
      </c>
      <c r="P50" s="69" t="str">
        <f aca="false">INDEX(T,15,lang)</f>
        <v>PTS</v>
      </c>
      <c r="R50" s="40" t="n">
        <f aca="false">DATE(2018,6,27)+TIME(3,0,0)+gmt_delta</f>
        <v>43278.4166666667</v>
      </c>
      <c r="S50" s="41" t="str">
        <f aca="false">IF(OR(F50="",G50=""),"",IF(F50&gt;G50,E50&amp;"_win",IF(F50&lt;G50,E50&amp;"_lose",E50&amp;"_draw")))</f>
        <v>México_lose</v>
      </c>
      <c r="T50" s="41" t="str">
        <f aca="false">IF(S50="","",IF(F50&lt;G50,H50&amp;"_win",IF(F50&gt;G50,H50&amp;"_lose",H50&amp;"_draw")))</f>
        <v>Suecia_win</v>
      </c>
      <c r="U50" s="42" t="n">
        <f aca="false">IF(S50="",0,IF(VLOOKUP(E50,$AB$8:$AK$53,7,0)=VLOOKUP(H50,$AB$8:$AK$53,7,0),1,0))</f>
        <v>0</v>
      </c>
      <c r="V50" s="40" t="n">
        <f aca="false">U50*F50</f>
        <v>0</v>
      </c>
      <c r="W50" s="40" t="n">
        <f aca="false">U50*G50</f>
        <v>0</v>
      </c>
      <c r="X50" s="40" t="n">
        <f aca="false">IF(OR(E50=my_team,H50=my_team),1,0)</f>
        <v>0</v>
      </c>
      <c r="Y50" s="40" t="n">
        <f aca="false">IF(OR(F50="",G50=""),"",IF(F50&gt;G50,1,IF(F50&lt;G50,-1,0)))</f>
        <v>-1</v>
      </c>
      <c r="AA50" s="40" t="n">
        <f aca="false">COUNTIF(AN50:AN53,CONCATENATE("&gt;=",AN50))</f>
        <v>4</v>
      </c>
      <c r="AB50" s="42" t="str">
        <f aca="false">VLOOKUP("Poland",T,lang,0)</f>
        <v>Polonia</v>
      </c>
      <c r="AC50" s="40" t="n">
        <f aca="false">COUNTIF($S$7:$T$54,"=" &amp; AB50 &amp; "_win")</f>
        <v>0</v>
      </c>
      <c r="AD50" s="40" t="n">
        <f aca="false">COUNTIF($S$7:$T$54,"=" &amp; AB50 &amp; "_draw")</f>
        <v>0</v>
      </c>
      <c r="AE50" s="40" t="n">
        <f aca="false">COUNTIF($S$7:$T$54,"=" &amp; AB50 &amp; "_lose")</f>
        <v>2</v>
      </c>
      <c r="AF50" s="40" t="n">
        <f aca="false">SUMIF($E$7:$E$54,$AB50,$F$7:$F$54) + SUMIF($H$7:$H$54,$AB50,$G$7:$G$54)</f>
        <v>1</v>
      </c>
      <c r="AG50" s="40" t="n">
        <f aca="false">SUMIF($E$7:$E$54,$AB50,$G$7:$G$54) + SUMIF($H$7:$H$54,$AB50,$F$7:$F$54)</f>
        <v>5</v>
      </c>
      <c r="AH50" s="40" t="n">
        <f aca="false">(AF50-AG50)*100+AK50*10000+AF50</f>
        <v>-399</v>
      </c>
      <c r="AI50" s="40" t="n">
        <f aca="false">AF50-AG50</f>
        <v>-4</v>
      </c>
      <c r="AJ50" s="40" t="n">
        <f aca="false">(AI50-AI55)/AI54</f>
        <v>0</v>
      </c>
      <c r="AK50" s="40" t="n">
        <f aca="false">AC50*3+AD50</f>
        <v>0</v>
      </c>
      <c r="AL50" s="40" t="n">
        <f aca="false">AP50/AP54*1000+AQ50/AQ54*100+AT50/AT54*10+AR50/AR54</f>
        <v>0</v>
      </c>
      <c r="AM50" s="40" t="n">
        <f aca="false">VLOOKUP(AB50,db_fifarank,2,0)/2000000</f>
        <v>0.0006045</v>
      </c>
      <c r="AN50" s="42" t="n">
        <f aca="false">1000*AK50/AK54+100*AJ50+10*AF50/AF54+1*AL50/AL54+AM50</f>
        <v>2.5006045</v>
      </c>
      <c r="AO50" s="43" t="str">
        <f aca="false">IF(SUM(AC50:AE53)=12,J51,INDEX(T,84,lang))</f>
        <v>1H</v>
      </c>
      <c r="AP50" s="44" t="n">
        <f aca="false">SUMPRODUCT(($S$7:$S$54=AB50&amp;"_win")*($U$7:$U$54))+SUMPRODUCT(($T$7:$T$54=AB50&amp;"_win")*($U$7:$U$54))</f>
        <v>0</v>
      </c>
      <c r="AQ50" s="44" t="n">
        <f aca="false">SUMPRODUCT(($S$7:$S$54=AB50&amp;"_draw")*($U$7:$U$54))+SUMPRODUCT(($T$7:$T$54=AB50&amp;"_draw")*($U$7:$U$54))</f>
        <v>0</v>
      </c>
      <c r="AR50" s="44" t="n">
        <f aca="false">SUMPRODUCT(($E$7:$E$54=AB50)*($U$7:$U$54)*($F$7:$F$54))+SUMPRODUCT(($H$7:$H$54=AB50)*($U$7:$U$54)*($G$7:$G$54))</f>
        <v>0</v>
      </c>
      <c r="AS50" s="44" t="n">
        <f aca="false">SUMPRODUCT(($E$7:$E$54=AB50)*($U$7:$U$54)*($G$7:$G$54))+SUMPRODUCT(($H$7:$H$54=AB50)*($U$7:$U$54)*($F$7:$F$54))</f>
        <v>0</v>
      </c>
      <c r="AT50" s="44" t="n">
        <f aca="false">AR50-AS50</f>
        <v>0</v>
      </c>
      <c r="AY50" s="103"/>
      <c r="AZ50" s="103"/>
      <c r="BA50" s="103"/>
      <c r="BB50" s="103"/>
    </row>
    <row r="51" customFormat="false" ht="15" hidden="false" customHeight="true" outlineLevel="0" collapsed="false">
      <c r="A51" s="59" t="n">
        <v>45</v>
      </c>
      <c r="B51" s="60" t="str">
        <f aca="false">INDEX(T,18+INT(MOD(R51-1,7)),lang)</f>
        <v>Thu</v>
      </c>
      <c r="C51" s="61" t="str">
        <f aca="false">INDEX(T,24+MONTH(R51),lang) &amp; " " &amp; DAY(R51) &amp; ", " &amp; YEAR(R51)</f>
        <v>Jun 28, 2018</v>
      </c>
      <c r="D51" s="62" t="n">
        <f aca="false">TIME(HOUR(R51),MINUTE(R51),0)</f>
        <v>0.583333333333333</v>
      </c>
      <c r="E51" s="63" t="str">
        <f aca="false">AB47</f>
        <v>Inglaterra</v>
      </c>
      <c r="F51" s="64"/>
      <c r="G51" s="65"/>
      <c r="H51" s="66" t="str">
        <f aca="false">AB44</f>
        <v>Bélgica</v>
      </c>
      <c r="J51" s="71" t="str">
        <f aca="false">VLOOKUP(1,AA50:AK53,2,0)</f>
        <v>Senegal</v>
      </c>
      <c r="K51" s="72" t="n">
        <f aca="false">L51+M51+N51</f>
        <v>2</v>
      </c>
      <c r="L51" s="72" t="n">
        <f aca="false">VLOOKUP(1,AA50:AK53,3,0)</f>
        <v>1</v>
      </c>
      <c r="M51" s="72" t="n">
        <f aca="false">VLOOKUP(1,AA50:AK53,4,0)</f>
        <v>1</v>
      </c>
      <c r="N51" s="72" t="n">
        <f aca="false">VLOOKUP(1,AA50:AK53,5,0)</f>
        <v>0</v>
      </c>
      <c r="O51" s="72" t="str">
        <f aca="false">VLOOKUP(1,AA50:AK53,6,0) &amp; " - " &amp; VLOOKUP(1,AA50:AK53,7,0)</f>
        <v>4 - 3</v>
      </c>
      <c r="P51" s="73" t="n">
        <f aca="false">L51*3+M51</f>
        <v>4</v>
      </c>
      <c r="R51" s="40" t="n">
        <f aca="false">DATE(2018,6,28)+TIME(7,0,0)+gmt_delta</f>
        <v>43279.5833333333</v>
      </c>
      <c r="S51" s="41" t="str">
        <f aca="false">IF(OR(F51="",G51=""),"",IF(F51&gt;G51,E51&amp;"_win",IF(F51&lt;G51,E51&amp;"_lose",E51&amp;"_draw")))</f>
        <v/>
      </c>
      <c r="T51" s="41" t="str">
        <f aca="false">IF(S51="","",IF(F51&lt;G51,H51&amp;"_win",IF(F51&gt;G51,H51&amp;"_lose",H51&amp;"_draw")))</f>
        <v/>
      </c>
      <c r="U51" s="42" t="n">
        <f aca="false">IF(S51="",0,IF(VLOOKUP(E51,$AB$8:$AK$53,7,0)=VLOOKUP(H51,$AB$8:$AK$53,7,0),1,0))</f>
        <v>0</v>
      </c>
      <c r="V51" s="40" t="n">
        <f aca="false">U51*F51</f>
        <v>0</v>
      </c>
      <c r="W51" s="40" t="n">
        <f aca="false">U51*G51</f>
        <v>0</v>
      </c>
      <c r="X51" s="40" t="n">
        <f aca="false">IF(OR(E51=my_team,H51=my_team),1,0)</f>
        <v>0</v>
      </c>
      <c r="Y51" s="40" t="str">
        <f aca="false">IF(OR(F51="",G51=""),"",IF(F51&gt;G51,1,IF(F51&lt;G51,-1,0)))</f>
        <v/>
      </c>
      <c r="AA51" s="40" t="n">
        <f aca="false">COUNTIF(AN50:AN53,CONCATENATE("&gt;=",AN51))</f>
        <v>1</v>
      </c>
      <c r="AB51" s="42" t="str">
        <f aca="false">VLOOKUP("Senegal",T,lang,0)</f>
        <v>Senegal</v>
      </c>
      <c r="AC51" s="40" t="n">
        <f aca="false">COUNTIF($S$7:$T$54,"=" &amp; AB51 &amp; "_win")</f>
        <v>1</v>
      </c>
      <c r="AD51" s="40" t="n">
        <f aca="false">COUNTIF($S$7:$T$54,"=" &amp; AB51 &amp; "_draw")</f>
        <v>1</v>
      </c>
      <c r="AE51" s="40" t="n">
        <f aca="false">COUNTIF($S$7:$T$54,"=" &amp; AB51 &amp; "_lose")</f>
        <v>0</v>
      </c>
      <c r="AF51" s="40" t="n">
        <f aca="false">SUMIF($E$7:$E$54,$AB51,$F$7:$F$54) + SUMIF($H$7:$H$54,$AB51,$G$7:$G$54)</f>
        <v>4</v>
      </c>
      <c r="AG51" s="40" t="n">
        <f aca="false">SUMIF($E$7:$E$54,$AB51,$G$7:$G$54) + SUMIF($H$7:$H$54,$AB51,$F$7:$F$54)</f>
        <v>3</v>
      </c>
      <c r="AH51" s="40" t="n">
        <f aca="false">(AF51-AG51)*100+AK51*10000+AF51</f>
        <v>40104</v>
      </c>
      <c r="AI51" s="40" t="n">
        <f aca="false">AF51-AG51</f>
        <v>1</v>
      </c>
      <c r="AJ51" s="40" t="n">
        <f aca="false">(AI51-AI55)/AI54</f>
        <v>0.714285714285714</v>
      </c>
      <c r="AK51" s="40" t="n">
        <f aca="false">AC51*3+AD51</f>
        <v>4</v>
      </c>
      <c r="AL51" s="40" t="n">
        <f aca="false">AP51/AP54*1000+AQ51/AQ54*100+AT51/AT54*10+AR51/AR54</f>
        <v>50.6666666666667</v>
      </c>
      <c r="AM51" s="40" t="n">
        <f aca="false">VLOOKUP(AB51,db_fifarank,2,0)/2000000</f>
        <v>0.000442</v>
      </c>
      <c r="AN51" s="42" t="n">
        <f aca="false">1000*AK51/AK54+100*AJ51+10*AF51/AF54+1*AL51/AL54+AM51</f>
        <v>882.409658589862</v>
      </c>
      <c r="AO51" s="43" t="str">
        <f aca="false">IF(SUM(AC50:AE53)=12,J52,INDEX(T,85,lang))</f>
        <v>2H</v>
      </c>
      <c r="AP51" s="44" t="n">
        <f aca="false">SUMPRODUCT(($S$7:$S$54=AB51&amp;"_win")*($U$7:$U$54))+SUMPRODUCT(($T$7:$T$54=AB51&amp;"_win")*($U$7:$U$54))</f>
        <v>0</v>
      </c>
      <c r="AQ51" s="44" t="n">
        <f aca="false">SUMPRODUCT(($S$7:$S$54=AB51&amp;"_draw")*($U$7:$U$54))+SUMPRODUCT(($T$7:$T$54=AB51&amp;"_draw")*($U$7:$U$54))</f>
        <v>1</v>
      </c>
      <c r="AR51" s="44" t="n">
        <f aca="false">SUMPRODUCT(($E$7:$E$54=AB51)*($U$7:$U$54)*($F$7:$F$54))+SUMPRODUCT(($H$7:$H$54=AB51)*($U$7:$U$54)*($G$7:$G$54))</f>
        <v>2</v>
      </c>
      <c r="AS51" s="44" t="n">
        <f aca="false">SUMPRODUCT(($E$7:$E$54=AB51)*($U$7:$U$54)*($G$7:$G$54))+SUMPRODUCT(($H$7:$H$54=AB51)*($U$7:$U$54)*($F$7:$F$54))</f>
        <v>2</v>
      </c>
      <c r="AT51" s="44" t="n">
        <f aca="false">AR51-AS51</f>
        <v>0</v>
      </c>
      <c r="AY51" s="103"/>
      <c r="AZ51" s="103"/>
      <c r="BA51" s="103"/>
      <c r="BB51" s="103"/>
    </row>
    <row r="52" customFormat="false" ht="15" hidden="false" customHeight="true" outlineLevel="0" collapsed="false">
      <c r="A52" s="59" t="n">
        <v>46</v>
      </c>
      <c r="B52" s="60" t="str">
        <f aca="false">INDEX(T,18+INT(MOD(R52-1,7)),lang)</f>
        <v>Thu</v>
      </c>
      <c r="C52" s="61" t="str">
        <f aca="false">INDEX(T,24+MONTH(R52),lang) &amp; " " &amp; DAY(R52) &amp; ", " &amp; YEAR(R52)</f>
        <v>Jun 28, 2018</v>
      </c>
      <c r="D52" s="62" t="n">
        <f aca="false">TIME(HOUR(R52),MINUTE(R52),0)</f>
        <v>0.583333333333333</v>
      </c>
      <c r="E52" s="63" t="str">
        <f aca="false">AB45</f>
        <v>Panamá</v>
      </c>
      <c r="F52" s="64"/>
      <c r="G52" s="65"/>
      <c r="H52" s="66" t="str">
        <f aca="false">AB46</f>
        <v>Túnez</v>
      </c>
      <c r="J52" s="75" t="str">
        <f aca="false">VLOOKUP(2,AA50:AK53,2,0)</f>
        <v>Japón</v>
      </c>
      <c r="K52" s="76" t="n">
        <f aca="false">L52+M52+N52</f>
        <v>2</v>
      </c>
      <c r="L52" s="76" t="n">
        <f aca="false">VLOOKUP(2,AA50:AK53,3,0)</f>
        <v>1</v>
      </c>
      <c r="M52" s="76" t="n">
        <f aca="false">VLOOKUP(2,AA50:AK53,4,0)</f>
        <v>1</v>
      </c>
      <c r="N52" s="76" t="n">
        <f aca="false">VLOOKUP(2,AA50:AK53,5,0)</f>
        <v>0</v>
      </c>
      <c r="O52" s="76" t="str">
        <f aca="false">VLOOKUP(2,AA50:AK53,6,0) &amp; " - " &amp; VLOOKUP(2,AA50:AK53,7,0)</f>
        <v>4 - 3</v>
      </c>
      <c r="P52" s="77" t="n">
        <f aca="false">L52*3+M52</f>
        <v>4</v>
      </c>
      <c r="R52" s="40" t="n">
        <f aca="false">DATE(2018,6,28)+TIME(7,0,0)+gmt_delta</f>
        <v>43279.5833333333</v>
      </c>
      <c r="S52" s="41" t="str">
        <f aca="false">IF(OR(F52="",G52=""),"",IF(F52&gt;G52,E52&amp;"_win",IF(F52&lt;G52,E52&amp;"_lose",E52&amp;"_draw")))</f>
        <v/>
      </c>
      <c r="T52" s="41" t="str">
        <f aca="false">IF(S52="","",IF(F52&lt;G52,H52&amp;"_win",IF(F52&gt;G52,H52&amp;"_lose",H52&amp;"_draw")))</f>
        <v/>
      </c>
      <c r="U52" s="42" t="n">
        <f aca="false">IF(S52="",0,IF(VLOOKUP(E52,$AB$8:$AK$53,7,0)=VLOOKUP(H52,$AB$8:$AK$53,7,0),1,0))</f>
        <v>0</v>
      </c>
      <c r="V52" s="40" t="n">
        <f aca="false">U52*F52</f>
        <v>0</v>
      </c>
      <c r="W52" s="40" t="n">
        <f aca="false">U52*G52</f>
        <v>0</v>
      </c>
      <c r="X52" s="40" t="n">
        <f aca="false">IF(OR(E52=my_team,H52=my_team),1,0)</f>
        <v>0</v>
      </c>
      <c r="Y52" s="40" t="str">
        <f aca="false">IF(OR(F52="",G52=""),"",IF(F52&gt;G52,1,IF(F52&lt;G52,-1,0)))</f>
        <v/>
      </c>
      <c r="AA52" s="40" t="n">
        <f aca="false">COUNTIF(AN50:AN53,CONCATENATE("&gt;=",AN52))</f>
        <v>3</v>
      </c>
      <c r="AB52" s="42" t="str">
        <f aca="false">VLOOKUP("Colombia",T,lang,0)</f>
        <v>Colombia</v>
      </c>
      <c r="AC52" s="40" t="n">
        <f aca="false">COUNTIF($S$7:$T$54,"=" &amp; AB52 &amp; "_win")</f>
        <v>1</v>
      </c>
      <c r="AD52" s="40" t="n">
        <f aca="false">COUNTIF($S$7:$T$54,"=" &amp; AB52 &amp; "_draw")</f>
        <v>0</v>
      </c>
      <c r="AE52" s="40" t="n">
        <f aca="false">COUNTIF($S$7:$T$54,"=" &amp; AB52 &amp; "_lose")</f>
        <v>1</v>
      </c>
      <c r="AF52" s="40" t="n">
        <f aca="false">SUMIF($E$7:$E$54,$AB52,$F$7:$F$54) + SUMIF($H$7:$H$54,$AB52,$G$7:$G$54)</f>
        <v>4</v>
      </c>
      <c r="AG52" s="40" t="n">
        <f aca="false">SUMIF($E$7:$E$54,$AB52,$G$7:$G$54) + SUMIF($H$7:$H$54,$AB52,$F$7:$F$54)</f>
        <v>2</v>
      </c>
      <c r="AH52" s="40" t="n">
        <f aca="false">(AF52-AG52)*100+AK52*10000+AF52</f>
        <v>30204</v>
      </c>
      <c r="AI52" s="40" t="n">
        <f aca="false">AF52-AG52</f>
        <v>2</v>
      </c>
      <c r="AJ52" s="40" t="n">
        <f aca="false">(AI52-AI55)/AI54</f>
        <v>0.857142857142857</v>
      </c>
      <c r="AK52" s="40" t="n">
        <f aca="false">AC52*3+AD52</f>
        <v>3</v>
      </c>
      <c r="AL52" s="40" t="n">
        <f aca="false">AP52/AP54*1000+AQ52/AQ54*100+AT52/AT54*10+AR52/AR54</f>
        <v>0</v>
      </c>
      <c r="AM52" s="40" t="n">
        <f aca="false">VLOOKUP(AB52,db_fifarank,2,0)/2000000</f>
        <v>0.000539</v>
      </c>
      <c r="AN52" s="42" t="n">
        <f aca="false">1000*AK52/AK54+100*AJ52+10*AF52/AF54+1*AL52/AL54+AM52</f>
        <v>695.714824714286</v>
      </c>
      <c r="AP52" s="44" t="n">
        <f aca="false">SUMPRODUCT(($S$7:$S$54=AB52&amp;"_win")*($U$7:$U$54))+SUMPRODUCT(($T$7:$T$54=AB52&amp;"_win")*($U$7:$U$54))</f>
        <v>0</v>
      </c>
      <c r="AQ52" s="44" t="n">
        <f aca="false">SUMPRODUCT(($S$7:$S$54=AB52&amp;"_draw")*($U$7:$U$54))+SUMPRODUCT(($T$7:$T$54=AB52&amp;"_draw")*($U$7:$U$54))</f>
        <v>0</v>
      </c>
      <c r="AR52" s="44" t="n">
        <f aca="false">SUMPRODUCT(($E$7:$E$54=AB52)*($U$7:$U$54)*($F$7:$F$54))+SUMPRODUCT(($H$7:$H$54=AB52)*($U$7:$U$54)*($G$7:$G$54))</f>
        <v>0</v>
      </c>
      <c r="AS52" s="44" t="n">
        <f aca="false">SUMPRODUCT(($E$7:$E$54=AB52)*($U$7:$U$54)*($G$7:$G$54))+SUMPRODUCT(($H$7:$H$54=AB52)*($U$7:$U$54)*($F$7:$F$54))</f>
        <v>0</v>
      </c>
      <c r="AT52" s="44" t="n">
        <f aca="false">AR52-AS52</f>
        <v>0</v>
      </c>
      <c r="AY52" s="103"/>
      <c r="AZ52" s="103"/>
      <c r="BA52" s="103"/>
      <c r="BB52" s="103"/>
    </row>
    <row r="53" customFormat="false" ht="15" hidden="false" customHeight="true" outlineLevel="0" collapsed="false">
      <c r="A53" s="59" t="n">
        <v>47</v>
      </c>
      <c r="B53" s="60" t="str">
        <f aca="false">INDEX(T,18+INT(MOD(R53-1,7)),lang)</f>
        <v>Thu</v>
      </c>
      <c r="C53" s="61" t="str">
        <f aca="false">INDEX(T,24+MONTH(R53),lang) &amp; " " &amp; DAY(R53) &amp; ", " &amp; YEAR(R53)</f>
        <v>Jun 28, 2018</v>
      </c>
      <c r="D53" s="62" t="n">
        <f aca="false">TIME(HOUR(R53),MINUTE(R53),0)</f>
        <v>0.416666666666667</v>
      </c>
      <c r="E53" s="63" t="str">
        <f aca="false">AB53</f>
        <v>Japón</v>
      </c>
      <c r="F53" s="64"/>
      <c r="G53" s="65"/>
      <c r="H53" s="66" t="str">
        <f aca="false">AB50</f>
        <v>Polonia</v>
      </c>
      <c r="J53" s="75" t="str">
        <f aca="false">VLOOKUP(3,AA50:AK53,2,0)</f>
        <v>Colombia</v>
      </c>
      <c r="K53" s="76" t="n">
        <f aca="false">L53+M53+N53</f>
        <v>2</v>
      </c>
      <c r="L53" s="76" t="n">
        <f aca="false">VLOOKUP(3,AA50:AK53,3,0)</f>
        <v>1</v>
      </c>
      <c r="M53" s="76" t="n">
        <f aca="false">VLOOKUP(3,AA50:AK53,4,0)</f>
        <v>0</v>
      </c>
      <c r="N53" s="76" t="n">
        <f aca="false">VLOOKUP(3,AA50:AK53,5,0)</f>
        <v>1</v>
      </c>
      <c r="O53" s="76" t="str">
        <f aca="false">VLOOKUP(3,AA50:AK53,6,0) &amp; " - " &amp; VLOOKUP(3,AA50:AK53,7,0)</f>
        <v>4 - 2</v>
      </c>
      <c r="P53" s="77" t="n">
        <f aca="false">L53*3+M53</f>
        <v>3</v>
      </c>
      <c r="R53" s="40" t="n">
        <f aca="false">DATE(2018,6,28)+TIME(3,0,0)+gmt_delta</f>
        <v>43279.4166666667</v>
      </c>
      <c r="S53" s="41" t="str">
        <f aca="false">IF(OR(F53="",G53=""),"",IF(F53&gt;G53,E53&amp;"_win",IF(F53&lt;G53,E53&amp;"_lose",E53&amp;"_draw")))</f>
        <v/>
      </c>
      <c r="T53" s="41" t="str">
        <f aca="false">IF(S53="","",IF(F53&lt;G53,H53&amp;"_win",IF(F53&gt;G53,H53&amp;"_lose",H53&amp;"_draw")))</f>
        <v/>
      </c>
      <c r="U53" s="42" t="n">
        <f aca="false">IF(S53="",0,IF(VLOOKUP(E53,$AB$8:$AK$53,7,0)=VLOOKUP(H53,$AB$8:$AK$53,7,0),1,0))</f>
        <v>0</v>
      </c>
      <c r="V53" s="40" t="n">
        <f aca="false">U53*F53</f>
        <v>0</v>
      </c>
      <c r="W53" s="40" t="n">
        <f aca="false">U53*G53</f>
        <v>0</v>
      </c>
      <c r="X53" s="40" t="n">
        <f aca="false">IF(OR(E53=my_team,H53=my_team),1,0)</f>
        <v>0</v>
      </c>
      <c r="Y53" s="40" t="str">
        <f aca="false">IF(OR(F53="",G53=""),"",IF(F53&gt;G53,1,IF(F53&lt;G53,-1,0)))</f>
        <v/>
      </c>
      <c r="AA53" s="40" t="n">
        <f aca="false">COUNTIF(AN50:AN53,CONCATENATE("&gt;=",AN53))</f>
        <v>2</v>
      </c>
      <c r="AB53" s="42" t="str">
        <f aca="false">VLOOKUP("Japan",T,lang,0)</f>
        <v>Japón</v>
      </c>
      <c r="AC53" s="40" t="n">
        <f aca="false">COUNTIF($S$7:$T$54,"=" &amp; AB53 &amp; "_win")</f>
        <v>1</v>
      </c>
      <c r="AD53" s="40" t="n">
        <f aca="false">COUNTIF($S$7:$T$54,"=" &amp; AB53 &amp; "_draw")</f>
        <v>1</v>
      </c>
      <c r="AE53" s="40" t="n">
        <f aca="false">COUNTIF($S$7:$T$54,"=" &amp; AB53 &amp; "_lose")</f>
        <v>0</v>
      </c>
      <c r="AF53" s="40" t="n">
        <f aca="false">SUMIF($E$7:$E$54,$AB53,$F$7:$F$54) + SUMIF($H$7:$H$54,$AB53,$G$7:$G$54)</f>
        <v>4</v>
      </c>
      <c r="AG53" s="40" t="n">
        <f aca="false">SUMIF($E$7:$E$54,$AB53,$G$7:$G$54) + SUMIF($H$7:$H$54,$AB53,$F$7:$F$54)</f>
        <v>3</v>
      </c>
      <c r="AH53" s="40" t="n">
        <f aca="false">(AF53-AG53)*100+AK53*10000+AF53</f>
        <v>40104</v>
      </c>
      <c r="AI53" s="40" t="n">
        <f aca="false">AF53-AG53</f>
        <v>1</v>
      </c>
      <c r="AJ53" s="40" t="n">
        <f aca="false">(AI53-AI55)/AI54</f>
        <v>0.714285714285714</v>
      </c>
      <c r="AK53" s="40" t="n">
        <f aca="false">AC53*3+AD53</f>
        <v>4</v>
      </c>
      <c r="AL53" s="40" t="n">
        <f aca="false">AP53/AP54*1000+AQ53/AQ54*100+AT53/AT54*10+AR53/AR54</f>
        <v>50.6666666666667</v>
      </c>
      <c r="AM53" s="40" t="n">
        <f aca="false">VLOOKUP(AB53,db_fifarank,2,0)/2000000</f>
        <v>0.0003</v>
      </c>
      <c r="AN53" s="42" t="n">
        <f aca="false">1000*AK53/AK54+100*AJ53+10*AF53/AF54+1*AL53/AL54+AM53</f>
        <v>882.409516589862</v>
      </c>
      <c r="AP53" s="44" t="n">
        <f aca="false">SUMPRODUCT(($S$7:$S$54=AB53&amp;"_win")*($U$7:$U$54))+SUMPRODUCT(($T$7:$T$54=AB53&amp;"_win")*($U$7:$U$54))</f>
        <v>0</v>
      </c>
      <c r="AQ53" s="44" t="n">
        <f aca="false">SUMPRODUCT(($S$7:$S$54=AB53&amp;"_draw")*($U$7:$U$54))+SUMPRODUCT(($T$7:$T$54=AB53&amp;"_draw")*($U$7:$U$54))</f>
        <v>1</v>
      </c>
      <c r="AR53" s="44" t="n">
        <f aca="false">SUMPRODUCT(($E$7:$E$54=AB53)*($U$7:$U$54)*($F$7:$F$54))+SUMPRODUCT(($H$7:$H$54=AB53)*($U$7:$U$54)*($G$7:$G$54))</f>
        <v>2</v>
      </c>
      <c r="AS53" s="44" t="n">
        <f aca="false">SUMPRODUCT(($E$7:$E$54=AB53)*($U$7:$U$54)*($G$7:$G$54))+SUMPRODUCT(($H$7:$H$54=AB53)*($U$7:$U$54)*($F$7:$F$54))</f>
        <v>2</v>
      </c>
      <c r="AT53" s="44" t="n">
        <f aca="false">AR53-AS53</f>
        <v>0</v>
      </c>
    </row>
    <row r="54" customFormat="false" ht="15" hidden="false" customHeight="true" outlineLevel="0" collapsed="false">
      <c r="A54" s="104" t="n">
        <v>48</v>
      </c>
      <c r="B54" s="105" t="str">
        <f aca="false">INDEX(T,18+INT(MOD(R54-1,7)),lang)</f>
        <v>Thu</v>
      </c>
      <c r="C54" s="106" t="str">
        <f aca="false">INDEX(T,24+MONTH(R54),lang) &amp; " " &amp; DAY(R54) &amp; ", " &amp; YEAR(R54)</f>
        <v>Jun 28, 2018</v>
      </c>
      <c r="D54" s="107" t="n">
        <f aca="false">TIME(HOUR(R54),MINUTE(R54),0)</f>
        <v>0.416666666666667</v>
      </c>
      <c r="E54" s="108" t="str">
        <f aca="false">AB51</f>
        <v>Senegal</v>
      </c>
      <c r="F54" s="83"/>
      <c r="G54" s="84"/>
      <c r="H54" s="109" t="str">
        <f aca="false">AB52</f>
        <v>Colombia</v>
      </c>
      <c r="J54" s="87" t="str">
        <f aca="false">VLOOKUP(4,AA50:AK53,2,0)</f>
        <v>Polonia</v>
      </c>
      <c r="K54" s="88" t="n">
        <f aca="false">L54+M54+N54</f>
        <v>2</v>
      </c>
      <c r="L54" s="88" t="n">
        <f aca="false">VLOOKUP(4,AA50:AK53,3,0)</f>
        <v>0</v>
      </c>
      <c r="M54" s="88" t="n">
        <f aca="false">VLOOKUP(4,AA50:AK53,4,0)</f>
        <v>0</v>
      </c>
      <c r="N54" s="88" t="n">
        <f aca="false">VLOOKUP(4,AA50:AK53,5,0)</f>
        <v>2</v>
      </c>
      <c r="O54" s="88" t="str">
        <f aca="false">VLOOKUP(4,AA50:AK53,6,0) &amp; " - " &amp; VLOOKUP(4,AA50:AK53,7,0)</f>
        <v>1 - 5</v>
      </c>
      <c r="P54" s="89" t="n">
        <f aca="false">L54*3+M54</f>
        <v>0</v>
      </c>
      <c r="R54" s="40" t="n">
        <f aca="false">DATE(2018,6,28)+TIME(3,0,0)+gmt_delta</f>
        <v>43279.4166666667</v>
      </c>
      <c r="S54" s="41" t="str">
        <f aca="false">IF(OR(F54="",G54=""),"",IF(F54&gt;G54,E54&amp;"_win",IF(F54&lt;G54,E54&amp;"_lose",E54&amp;"_draw")))</f>
        <v/>
      </c>
      <c r="T54" s="41" t="str">
        <f aca="false">IF(S54="","",IF(F54&lt;G54,H54&amp;"_win",IF(F54&gt;G54,H54&amp;"_lose",H54&amp;"_draw")))</f>
        <v/>
      </c>
      <c r="U54" s="42" t="n">
        <f aca="false">IF(S54="",0,IF(VLOOKUP(E54,$AB$8:$AK$53,7,0)=VLOOKUP(H54,$AB$8:$AK$53,7,0),1,0))</f>
        <v>0</v>
      </c>
      <c r="V54" s="40" t="n">
        <f aca="false">U54*F54</f>
        <v>0</v>
      </c>
      <c r="W54" s="40" t="n">
        <f aca="false">U54*G54</f>
        <v>0</v>
      </c>
      <c r="X54" s="40" t="n">
        <f aca="false">IF(OR(E54=my_team,H54=my_team),1,0)</f>
        <v>0</v>
      </c>
      <c r="Y54" s="40" t="str">
        <f aca="false">IF(OR(F54="",G54=""),"",IF(F54&gt;G54,1,IF(F54&lt;G54,-1,0)))</f>
        <v/>
      </c>
      <c r="AC54" s="40" t="n">
        <f aca="false">MAX(AC50:AC53)-MIN(AC50:AC53)+1</f>
        <v>2</v>
      </c>
      <c r="AD54" s="40" t="n">
        <f aca="false">MAX(AD50:AD53)-MIN(AD50:AD53)+1</f>
        <v>2</v>
      </c>
      <c r="AE54" s="40" t="n">
        <f aca="false">MAX(AE50:AE53)-MIN(AE50:AE53)+1</f>
        <v>3</v>
      </c>
      <c r="AF54" s="40" t="n">
        <f aca="false">MAX(AF50:AF53)-MIN(AF50:AF53)+1</f>
        <v>4</v>
      </c>
      <c r="AG54" s="40" t="n">
        <f aca="false">MAX(AG50:AG53)-MIN(AG50:AG53)+1</f>
        <v>4</v>
      </c>
      <c r="AH54" s="40" t="n">
        <f aca="false">MAX(AH50:AH53)-AH55+1</f>
        <v>40504</v>
      </c>
      <c r="AI54" s="40" t="n">
        <f aca="false">MAX(AI50:AI53)-AI55+1</f>
        <v>7</v>
      </c>
      <c r="AK54" s="40" t="n">
        <f aca="false">MAX(AK50:AK53)-MIN(AK50:AK53)+1</f>
        <v>5</v>
      </c>
      <c r="AL54" s="40" t="n">
        <f aca="false">MAX(AL50:AL53)-MIN(AL50:AL53)+1</f>
        <v>51.6666666666667</v>
      </c>
      <c r="AP54" s="40" t="n">
        <f aca="false">MAX(AP50:AP53)-MIN(AP50:AP53)+1</f>
        <v>1</v>
      </c>
      <c r="AQ54" s="40" t="n">
        <f aca="false">MAX(AQ50:AQ53)-MIN(AQ50:AQ53)+1</f>
        <v>2</v>
      </c>
      <c r="AR54" s="40" t="n">
        <f aca="false">MAX(AR50:AR53)-MIN(AR50:AR53)+1</f>
        <v>3</v>
      </c>
      <c r="AS54" s="40" t="n">
        <f aca="false">MAX(AS50:AS53)-MIN(AS50:AS53)+1</f>
        <v>3</v>
      </c>
      <c r="AT54" s="40" t="n">
        <f aca="false">MAX(AT50:AT53)-MIN(AT50:AT53)+1</f>
        <v>1</v>
      </c>
    </row>
    <row r="55" customFormat="false" ht="15" hidden="false" customHeight="false" outlineLevel="0" collapsed="false">
      <c r="A55" s="92"/>
      <c r="B55" s="110"/>
      <c r="C55" s="92"/>
      <c r="D55" s="111"/>
      <c r="E55" s="112"/>
      <c r="F55" s="113"/>
      <c r="G55" s="113"/>
      <c r="H55" s="114"/>
      <c r="J55" s="91"/>
      <c r="K55" s="92"/>
      <c r="L55" s="92"/>
      <c r="M55" s="92"/>
      <c r="N55" s="92"/>
      <c r="O55" s="92"/>
      <c r="P55" s="92"/>
      <c r="AH55" s="40" t="n">
        <f aca="false">MIN(AH50:AH53)</f>
        <v>-399</v>
      </c>
      <c r="AI55" s="40" t="n">
        <f aca="false">MIN(AI50:AI53)</f>
        <v>-4</v>
      </c>
    </row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5" hidden="false" customHeight="false" outlineLevel="0" collapsed="false">
      <c r="R58" s="40" t="n">
        <f aca="false">DATE(2018,6,30)+TIME(7,0,0)+gmt_delta</f>
        <v>43281.5833333333</v>
      </c>
      <c r="S58" s="41" t="str">
        <f aca="false">IF(OR(BA10="",BA11=""),"",IF(BA10&gt;BA11,AZ10,IF(BA10&lt;BA11,AZ11,IF(OR(BB10="",BB11=""),"draw",IF(BB10&gt;BB11,AZ10,IF(BB10&lt;BB11,AZ11,"draw"))))))</f>
        <v/>
      </c>
      <c r="T58" s="41" t="str">
        <f aca="false">IF(OR(S58="",S58="draw"),INDEX(T,86,lang),S58)</f>
        <v>W49</v>
      </c>
    </row>
    <row r="59" customFormat="false" ht="12.75" hidden="false" customHeight="true" outlineLevel="0" collapsed="false">
      <c r="R59" s="40" t="n">
        <f aca="false">DATE(2018,6,30)+TIME(3,0,0)+gmt_delta</f>
        <v>43281.4166666667</v>
      </c>
      <c r="S59" s="41" t="str">
        <f aca="false">IF(OR(BA14="",BA15=""),"",IF(BA14&gt;BA15,AZ14,IF(BA14&lt;BA15,AZ15,IF(OR(BB14="",BB15=""),"draw",IF(BB14&gt;BB15,AZ14,IF(BB14&lt;BB15,AZ15,"draw"))))))</f>
        <v/>
      </c>
      <c r="T59" s="41" t="str">
        <f aca="false">IF(OR(S59="",S59="draw"),INDEX(T,87,lang),S59)</f>
        <v>W50</v>
      </c>
    </row>
    <row r="60" customFormat="false" ht="12.75" hidden="false" customHeight="true" outlineLevel="0" collapsed="false">
      <c r="R60" s="40" t="n">
        <f aca="false">DATE(2018,7,1)+TIME(3,0,0)+gmt_delta</f>
        <v>43282.4166666667</v>
      </c>
      <c r="S60" s="41" t="str">
        <f aca="false">IF(OR(BA26="",BA27=""),"",IF(BA26&gt;BA27,AZ26,IF(BA26&lt;BA27,AZ27,IF(OR(BB26="",BB27=""),"draw",IF(BB26&gt;BB27,AZ26,IF(BB26&lt;BB27,AZ27,"draw"))))))</f>
        <v/>
      </c>
      <c r="T60" s="41" t="str">
        <f aca="false">IF(OR(S60="",S60="draw"),INDEX(T,88,lang),S60)</f>
        <v>W51</v>
      </c>
    </row>
    <row r="61" customFormat="false" ht="12.75" hidden="false" customHeight="true" outlineLevel="0" collapsed="false">
      <c r="R61" s="40" t="n">
        <f aca="false">DATE(2018,7,1)+TIME(7,0,0)+gmt_delta</f>
        <v>43282.5833333333</v>
      </c>
      <c r="S61" s="41" t="str">
        <f aca="false">IF(OR(BA30="",BA31=""),"",IF(BA30&gt;BA31,AZ30,IF(BA30&lt;BA31,AZ31,IF(OR(BB30="",BB31=""),"draw",IF(BB30&gt;BB31,AZ30,IF(BB30&lt;BB31,AZ31,"draw"))))))</f>
        <v/>
      </c>
      <c r="T61" s="41" t="str">
        <f aca="false">IF(OR(S61="",S61="draw"),INDEX(T,89,lang),S61)</f>
        <v>W52</v>
      </c>
    </row>
    <row r="62" customFormat="false" ht="12.75" hidden="false" customHeight="true" outlineLevel="0" collapsed="false">
      <c r="R62" s="40" t="n">
        <f aca="false">DATE(2018,7,2)+TIME(3,0,0)+gmt_delta</f>
        <v>43283.4166666667</v>
      </c>
      <c r="S62" s="41" t="str">
        <f aca="false">IF(OR(BA18="",BA19=""),"",IF(BA18&gt;BA19,AZ18,IF(BA18&lt;BA19,AZ19,IF(OR(BB18="",BB19=""),"draw",IF(BB18&gt;BB19,AZ18,IF(BB18&lt;BB19,AZ19,"draw"))))))</f>
        <v/>
      </c>
      <c r="T62" s="41" t="str">
        <f aca="false">IF(OR(S62="",S62="draw"),INDEX(T,90,lang),S62)</f>
        <v>W53</v>
      </c>
    </row>
    <row r="63" customFormat="false" ht="12.75" hidden="false" customHeight="true" outlineLevel="0" collapsed="false">
      <c r="R63" s="40" t="n">
        <f aca="false">DATE(2018,7,2)+TIME(7,0,0)+gmt_delta</f>
        <v>43283.5833333333</v>
      </c>
      <c r="S63" s="41" t="str">
        <f aca="false">IF(OR(BA22="",BA23=""),"",IF(BA22&gt;BA23,AZ22,IF(BA22&lt;BA23,AZ23,IF(OR(BB22="",BB23=""),"draw",IF(BB22&gt;BB23,AZ22,IF(BB22&lt;BB23,AZ23,"draw"))))))</f>
        <v/>
      </c>
      <c r="T63" s="41" t="str">
        <f aca="false">IF(OR(S63="",S63="draw"),INDEX(T,91,lang),S63)</f>
        <v>W54</v>
      </c>
    </row>
    <row r="64" customFormat="false" ht="12.75" hidden="false" customHeight="true" outlineLevel="0" collapsed="false">
      <c r="R64" s="40" t="n">
        <f aca="false">DATE(2018,7,3)+TIME(3,0,0)+gmt_delta</f>
        <v>43284.4166666667</v>
      </c>
      <c r="S64" s="41" t="str">
        <f aca="false">IF(OR(BA34="",BA35=""),"",IF(BA34&gt;BA35,AZ34,IF(BA34&lt;BA35,AZ35,IF(OR(BB34="",BB35=""),"draw",IF(BB34&gt;BB35,AZ34,IF(BB34&lt;BB35,AZ35,"draw"))))))</f>
        <v/>
      </c>
      <c r="T64" s="41" t="str">
        <f aca="false">IF(OR(S64="",S64="draw"),INDEX(T,92,lang),S64)</f>
        <v>W55</v>
      </c>
    </row>
    <row r="65" customFormat="false" ht="12.75" hidden="false" customHeight="true" outlineLevel="0" collapsed="false">
      <c r="R65" s="40" t="n">
        <f aca="false">DATE(2018,7,3)+TIME(7,0,0)+gmt_delta</f>
        <v>43284.5833333333</v>
      </c>
      <c r="S65" s="41" t="str">
        <f aca="false">IF(OR(BA38="",BA39=""),"",IF(BA38&gt;BA39,AZ38,IF(BA38&lt;BA39,AZ39,IF(OR(BB38="",BB39=""),"draw",IF(BB38&gt;BB39,AZ38,IF(BB38&lt;BB39,AZ39,"draw"))))))</f>
        <v/>
      </c>
      <c r="T65" s="41" t="str">
        <f aca="false">IF(OR(S65="",S65="draw"),INDEX(T,93,lang),S65)</f>
        <v>W56</v>
      </c>
    </row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>
      <c r="R69" s="40" t="n">
        <f aca="false">DATE(2018,7,6)+TIME(3,0,0)+gmt_delta</f>
        <v>43287.4166666667</v>
      </c>
      <c r="S69" s="41" t="str">
        <f aca="false">IF(OR(BG12="",BG13=""),"",IF(BG12&gt;BG13,BF12,IF(BG12&lt;BG13,BF13,IF(OR(BH12="",BH13=""),"draw",IF(BH12&gt;BH13,BF12,IF(BH12&lt;BH13,BF13,"draw"))))))</f>
        <v/>
      </c>
      <c r="T69" s="41" t="str">
        <f aca="false">IF(OR(S69="",S69="draw"),INDEX(T,94,lang),S69)</f>
        <v>W57</v>
      </c>
    </row>
    <row r="70" customFormat="false" ht="12.75" hidden="false" customHeight="true" outlineLevel="0" collapsed="false">
      <c r="R70" s="40" t="n">
        <f aca="false">DATE(2018,7,6)+TIME(7,0,0)+gmt_delta</f>
        <v>43287.5833333333</v>
      </c>
      <c r="S70" s="41" t="str">
        <f aca="false">IF(OR(BG20="",BG21=""),"",IF(BG20&gt;BG21,BF20,IF(BG20&lt;BG21,BF21,IF(OR(BH20="",BH21=""),"draw",IF(BH20&gt;BH21,BF20,IF(BH20&lt;BH21,BF21,"draw"))))))</f>
        <v/>
      </c>
      <c r="T70" s="41" t="str">
        <f aca="false">IF(OR(S70="",S70="draw"),INDEX(T,95,lang),S70)</f>
        <v>W58</v>
      </c>
    </row>
    <row r="71" customFormat="false" ht="12.75" hidden="false" customHeight="true" outlineLevel="0" collapsed="false">
      <c r="R71" s="40" t="n">
        <f aca="false">DATE(2018,7,7)+TIME(3,0,0)+gmt_delta</f>
        <v>43288.4166666667</v>
      </c>
      <c r="S71" s="41" t="str">
        <f aca="false">IF(OR(BG28="",BG29=""),"",IF(BG28&gt;BG29,BF28,IF(BG28&lt;BG29,BF29,IF(OR(BH28="",BH29=""),"draw",IF(BH28&gt;BH29,BF28,IF(BH28&lt;BH29,BF29,"draw"))))))</f>
        <v/>
      </c>
      <c r="T71" s="41" t="str">
        <f aca="false">IF(OR(S71="",S71="draw"),INDEX(T,96,lang),S71)</f>
        <v>W59</v>
      </c>
    </row>
    <row r="72" customFormat="false" ht="12.75" hidden="false" customHeight="true" outlineLevel="0" collapsed="false">
      <c r="R72" s="40" t="n">
        <f aca="false">DATE(2018,7,7)+TIME(7,0,0)+gmt_delta</f>
        <v>43288.5833333333</v>
      </c>
      <c r="S72" s="41" t="str">
        <f aca="false">IF(OR(BG36="",BG37=""),"",IF(BG36&gt;BG37,BF36,IF(BG36&lt;BG37,BF37,IF(OR(BH36="",BH37=""),"draw",IF(BH36&gt;BH37,BF36,IF(BH36&lt;BH37,BF37,"draw"))))))</f>
        <v/>
      </c>
      <c r="T72" s="41" t="str">
        <f aca="false">IF(OR(S72="",S72="draw"),INDEX(T,97,lang),S72)</f>
        <v>W60</v>
      </c>
    </row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>
      <c r="R76" s="40" t="n">
        <f aca="false">DATE(2018,7,10)+TIME(7,0,0)+gmt_delta</f>
        <v>43291.5833333333</v>
      </c>
      <c r="S76" s="41" t="str">
        <f aca="false">IF(OR(BM16="",BM17=""),"",IF(BM16&gt;BM17,BL16,IF(BM16&lt;BM17,BL17,IF(OR(BN16="",BN17=""),"draw",IF(BN16&gt;BN17,BL16,IF(BN16&lt;BN17,BL17,"draw"))))))</f>
        <v/>
      </c>
      <c r="T76" s="41" t="str">
        <f aca="false">IF(OR(S76="",S76="draw"),INDEX(T,98,lang),S76)</f>
        <v>W61</v>
      </c>
      <c r="U76" s="41" t="str">
        <f aca="false">IF(OR(BM16="",BM17=""),"",IF(BM16&lt;BM17,BL16,IF(BM16&gt;BM17,BL17,IF(OR(BN16="",BN17=""),"draw",IF(BN16&lt;BN17,BL16,IF(BN16&gt;BN17,BL17,"draw"))))))</f>
        <v/>
      </c>
      <c r="Z76" s="41" t="str">
        <f aca="false">IF(OR(U76="",U76="draw"),INDEX(T,100,lang),U76)</f>
        <v>L61</v>
      </c>
    </row>
    <row r="77" customFormat="false" ht="12.75" hidden="false" customHeight="true" outlineLevel="0" collapsed="false">
      <c r="R77" s="40" t="n">
        <f aca="false">DATE(2018,7,11)+TIME(7,0,0)+gmt_delta</f>
        <v>43292.5833333333</v>
      </c>
      <c r="S77" s="41" t="str">
        <f aca="false">IF(OR(BM32="",BM33=""),"",IF(BM32&gt;BM33,BL32,IF(BM32&lt;BM33,BL33,IF(OR(BN32="",BN33=""),"draw",IF(BN32&gt;BN33,BL32,IF(BN32&lt;BN33,BL33,"draw"))))))</f>
        <v/>
      </c>
      <c r="T77" s="41" t="str">
        <f aca="false">IF(OR(S77="",S77="draw"),INDEX(T,99,lang),S77)</f>
        <v>W62</v>
      </c>
      <c r="U77" s="41" t="str">
        <f aca="false">IF(OR(BM32="",BM33=""),"",IF(BM32&lt;BM33,BL32,IF(BM32&gt;BM33,BL33,IF(OR(BN32="",BN33=""),"draw",IF(BN32&lt;BN33,BL32,IF(BN32&gt;BN33,BL33,"draw"))))))</f>
        <v/>
      </c>
      <c r="Z77" s="41" t="str">
        <f aca="false">IF(OR(U77="",U77="draw"),INDEX(T,101,lang),U77)</f>
        <v>L62</v>
      </c>
    </row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5" hidden="false" customHeight="false" outlineLevel="0" collapsed="false">
      <c r="R81" s="40" t="n">
        <f aca="false">DATE(2018,7,14)+TIME(3,0,0)+gmt_delta</f>
        <v>43295.4166666667</v>
      </c>
      <c r="T81" s="41" t="str">
        <f aca="false">IF(OR(BS35="",BS36=""),"",IF(BS35&gt;BS36,BR35,IF(BS35&lt;BS36,BR36,IF(OR(BT35="",BT36=""),"",IF(BT35&gt;BT36,BR35,IF(BT35&lt;BT36,BR36,""))))))</f>
        <v/>
      </c>
    </row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5" hidden="false" customHeight="false" outlineLevel="0" collapsed="false">
      <c r="R85" s="40" t="n">
        <f aca="false">DATE(2018,7,15)+TIME(4,0,0)+gmt_delta</f>
        <v>43296.4583333333</v>
      </c>
      <c r="S85" s="41" t="str">
        <f aca="false">IF(OR(BS23="",BS24=""),"",IF(BS23&gt;BS24,BR23,IF(BS23&lt;BS24,BR24,IF(OR(BT23="",BT24=""),"",IF(BT23&gt;BT24,BR23,IF(BT23&lt;BT24,BR24,""))))))</f>
        <v/>
      </c>
      <c r="T85" s="41" t="str">
        <f aca="false">S85</f>
        <v/>
      </c>
    </row>
    <row r="87" customFormat="false" ht="12.75" hidden="false" customHeight="true" outlineLevel="0" collapsed="false"/>
    <row r="88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</sheetData>
  <sheetProtection sheet="true" objects="true" scenarios="true"/>
  <mergeCells count="28">
    <mergeCell ref="A1:P1"/>
    <mergeCell ref="O3:P3"/>
    <mergeCell ref="A5:H6"/>
    <mergeCell ref="J5:P6"/>
    <mergeCell ref="AY6:BB7"/>
    <mergeCell ref="BE6:BH7"/>
    <mergeCell ref="BK6:BN7"/>
    <mergeCell ref="BQ6:BT7"/>
    <mergeCell ref="AY10:AY11"/>
    <mergeCell ref="BE12:BE13"/>
    <mergeCell ref="AY14:AY15"/>
    <mergeCell ref="BK16:BK17"/>
    <mergeCell ref="AY18:AY19"/>
    <mergeCell ref="BE20:BE21"/>
    <mergeCell ref="AY22:AY23"/>
    <mergeCell ref="BQ23:BQ24"/>
    <mergeCell ref="AY26:AY27"/>
    <mergeCell ref="BE28:BE29"/>
    <mergeCell ref="AY30:AY31"/>
    <mergeCell ref="BQ31:BT32"/>
    <mergeCell ref="BK32:BK33"/>
    <mergeCell ref="AY34:AY35"/>
    <mergeCell ref="BQ35:BQ36"/>
    <mergeCell ref="BE36:BE37"/>
    <mergeCell ref="AY38:AY39"/>
    <mergeCell ref="BJ41:BN42"/>
    <mergeCell ref="BO41:BT42"/>
    <mergeCell ref="AY46:BB52"/>
  </mergeCells>
  <conditionalFormatting sqref="F7:F55">
    <cfRule type="expression" priority="2" aboveAverage="0" equalAverage="0" bottom="0" percent="0" rank="0" text="" dxfId="0">
      <formula>IF(AND($F7&gt;$G7,ISNUMBER($F7),ISNUMBER($G7)),1,0)</formula>
    </cfRule>
  </conditionalFormatting>
  <conditionalFormatting sqref="G7:G55">
    <cfRule type="expression" priority="3" aboveAverage="0" equalAverage="0" bottom="0" percent="0" rank="0" text="" dxfId="1">
      <formula>IF(AND($F7&lt;$G7,ISNUMBER($F7),ISNUMBER($G7)),1,0)</formula>
    </cfRule>
  </conditionalFormatting>
  <conditionalFormatting sqref="J15:P15 J9:P9 J45:P45 J21:P21 J27:P27 J33:P33 J39:P39 J51:P51">
    <cfRule type="expression" priority="4" aboveAverage="0" equalAverage="0" bottom="0" percent="0" rank="0" text="" dxfId="2">
      <formula>IF(SUM($K9:$K12)=12,1,0)</formula>
    </cfRule>
  </conditionalFormatting>
  <conditionalFormatting sqref="J16:P16 J10:P10 J46:P46 J22:P22 J28:P28 J34:P34 J40:P40 J52:P52">
    <cfRule type="expression" priority="5" aboveAverage="0" equalAverage="0" bottom="0" percent="0" rank="0" text="" dxfId="3">
      <formula>IF(SUM($K9:$K12)=12,1,0)</formula>
    </cfRule>
  </conditionalFormatting>
  <conditionalFormatting sqref="J18:P18 J12:P12 J48:P48 J24:P24 J30:P30 J36:P36 J42:P42 J54:P55">
    <cfRule type="expression" priority="6" aboveAverage="0" equalAverage="0" bottom="0" percent="0" rank="0" text="" dxfId="4">
      <formula>IF(SUM($K9:$K12)=12,1,0)</formula>
    </cfRule>
  </conditionalFormatting>
  <conditionalFormatting sqref="J11:P11 J17:P17 J23:P23 J29:P29 J35:P35 J41:P41 J47:P47 J53:P53">
    <cfRule type="expression" priority="7" aboveAverage="0" equalAverage="0" bottom="0" percent="0" rank="0" text="" dxfId="5">
      <formula>IF(SUM($K9:$K12)=12,1,0)</formula>
    </cfRule>
  </conditionalFormatting>
  <conditionalFormatting sqref="BA10 BA14 BA34 BA38 BA26 BA30 BA18 BA22">
    <cfRule type="expression" priority="8" aboveAverage="0" equalAverage="0" bottom="0" percent="0" rank="0" text="" dxfId="6">
      <formula>IF(AND($BA10&gt;$BA11,ISNUMBER($BA10),ISNUMBER($BA11)),1,0)</formula>
    </cfRule>
  </conditionalFormatting>
  <conditionalFormatting sqref="BA11 BA15 BA35 BA39 BA27 BA31 BA19 BA23">
    <cfRule type="expression" priority="9" aboveAverage="0" equalAverage="0" bottom="0" percent="0" rank="0" text="" dxfId="7">
      <formula>IF(AND($BA10&lt;$BA11,ISNUMBER($BA10),ISNUMBER($BA11)),1,0)</formula>
    </cfRule>
  </conditionalFormatting>
  <conditionalFormatting sqref="BB10 BB14 BB34 BB38 BB26 BB30 BB18 BB22">
    <cfRule type="expression" priority="10" aboveAverage="0" equalAverage="0" bottom="0" percent="0" rank="0" text="" dxfId="8">
      <formula>IF(AND($BB10&gt;$BB11,ISNUMBER($BB10),ISNUMBER($BB11)),1,0)</formula>
    </cfRule>
  </conditionalFormatting>
  <conditionalFormatting sqref="BB11 BB15 BB35 BB39 BB27 BB31 BB19 BB23">
    <cfRule type="expression" priority="11" aboveAverage="0" equalAverage="0" bottom="0" percent="0" rank="0" text="" dxfId="9">
      <formula>IF(AND($BB10&lt;$BB11,ISNUMBER($BB10),ISNUMBER($BB11)),1,0)</formula>
    </cfRule>
  </conditionalFormatting>
  <conditionalFormatting sqref="BG12 BG20 BG28 BG36">
    <cfRule type="expression" priority="12" aboveAverage="0" equalAverage="0" bottom="0" percent="0" rank="0" text="" dxfId="10">
      <formula>IF(AND($BG12&gt;$BG13,ISNUMBER($BG12),ISNUMBER($BG13)),1,0)</formula>
    </cfRule>
  </conditionalFormatting>
  <conditionalFormatting sqref="BG13 BG21 BG29 BG37">
    <cfRule type="expression" priority="13" aboveAverage="0" equalAverage="0" bottom="0" percent="0" rank="0" text="" dxfId="11">
      <formula>IF(AND($BG12&lt;$BG13,ISNUMBER($BG12),ISNUMBER($BG13)),1,0)</formula>
    </cfRule>
  </conditionalFormatting>
  <conditionalFormatting sqref="BH12 BH20 BH28 BH36">
    <cfRule type="expression" priority="14" aboveAverage="0" equalAverage="0" bottom="0" percent="0" rank="0" text="" dxfId="12">
      <formula>IF(AND($BH12&gt;$BH13,ISNUMBER($BH12),ISNUMBER($BH13)),1,0)</formula>
    </cfRule>
  </conditionalFormatting>
  <conditionalFormatting sqref="BH13 BH21 BH29 BH37">
    <cfRule type="expression" priority="15" aboveAverage="0" equalAverage="0" bottom="0" percent="0" rank="0" text="" dxfId="13">
      <formula>IF(AND($BH12&lt;$BH13,ISNUMBER($BH12),ISNUMBER($BH13)),1,0)</formula>
    </cfRule>
  </conditionalFormatting>
  <conditionalFormatting sqref="BM16 BM32">
    <cfRule type="expression" priority="16" aboveAverage="0" equalAverage="0" bottom="0" percent="0" rank="0" text="" dxfId="14">
      <formula>IF(AND($BM16&gt;$BM17,ISNUMBER($BM16),ISNUMBER($BM17)),1,0)</formula>
    </cfRule>
  </conditionalFormatting>
  <conditionalFormatting sqref="BM17 BM33">
    <cfRule type="expression" priority="17" aboveAverage="0" equalAverage="0" bottom="0" percent="0" rank="0" text="" dxfId="15">
      <formula>IF(AND($BM16&lt;$BM17,ISNUMBER($BM16),ISNUMBER($BM17)),1,0)</formula>
    </cfRule>
  </conditionalFormatting>
  <conditionalFormatting sqref="BN16 BN32">
    <cfRule type="expression" priority="18" aboveAverage="0" equalAverage="0" bottom="0" percent="0" rank="0" text="" dxfId="16">
      <formula>IF(AND($BN16&gt;$BN17,ISNUMBER($BN16),ISNUMBER($BN17)),1,0)</formula>
    </cfRule>
  </conditionalFormatting>
  <conditionalFormatting sqref="BN17 BN33">
    <cfRule type="expression" priority="19" aboveAverage="0" equalAverage="0" bottom="0" percent="0" rank="0" text="" dxfId="17">
      <formula>IF(AND($BN16&lt;$BN17,ISNUMBER($BN16),ISNUMBER($BN17)),1,0)</formula>
    </cfRule>
  </conditionalFormatting>
  <conditionalFormatting sqref="BS23 BS35">
    <cfRule type="expression" priority="20" aboveAverage="0" equalAverage="0" bottom="0" percent="0" rank="0" text="" dxfId="18">
      <formula>IF(AND($BS23&gt;$BS24,ISNUMBER($BS23),ISNUMBER($BS24)),1,0)</formula>
    </cfRule>
  </conditionalFormatting>
  <conditionalFormatting sqref="BS24 BS36">
    <cfRule type="expression" priority="21" aboveAverage="0" equalAverage="0" bottom="0" percent="0" rank="0" text="" dxfId="19">
      <formula>IF(AND($BS23&lt;$BS24,ISNUMBER($BS23),ISNUMBER($BS24)),1,0)</formula>
    </cfRule>
  </conditionalFormatting>
  <conditionalFormatting sqref="BT23 BT35">
    <cfRule type="expression" priority="22" aboveAverage="0" equalAverage="0" bottom="0" percent="0" rank="0" text="" dxfId="20">
      <formula>IF(AND($BT23&gt;$BT24,ISNUMBER($BT23),ISNUMBER($BT24)),1,0)</formula>
    </cfRule>
  </conditionalFormatting>
  <conditionalFormatting sqref="BT24 BT36">
    <cfRule type="expression" priority="23" aboveAverage="0" equalAverage="0" bottom="0" percent="0" rank="0" text="" dxfId="21">
      <formula>IF(AND($BT23&lt;$BT24,ISNUMBER($BT23),ISNUMBER($BT24)),1,0)</formula>
    </cfRule>
  </conditionalFormatting>
  <conditionalFormatting sqref="AZ10">
    <cfRule type="expression" priority="24" aboveAverage="0" equalAverage="0" bottom="0" percent="0" rank="0" text="" dxfId="22">
      <formula>IF($AZ10=$T58,1,0)</formula>
    </cfRule>
    <cfRule type="expression" priority="25" aboveAverage="0" equalAverage="0" bottom="0" percent="0" rank="0" text="" dxfId="23">
      <formula>IF($AZ11=$T58,1,0)</formula>
    </cfRule>
  </conditionalFormatting>
  <conditionalFormatting sqref="AZ11">
    <cfRule type="expression" priority="26" aboveAverage="0" equalAverage="0" bottom="0" percent="0" rank="0" text="" dxfId="24">
      <formula>IF($AZ11=$T58,1,0)</formula>
    </cfRule>
    <cfRule type="expression" priority="27" aboveAverage="0" equalAverage="0" bottom="0" percent="0" rank="0" text="" dxfId="25">
      <formula>IF($AZ10=$T58,1,0)</formula>
    </cfRule>
  </conditionalFormatting>
  <conditionalFormatting sqref="AZ14">
    <cfRule type="expression" priority="28" aboveAverage="0" equalAverage="0" bottom="0" percent="0" rank="0" text="" dxfId="26">
      <formula>IF($AZ14=$T59,1,0)</formula>
    </cfRule>
    <cfRule type="expression" priority="29" aboveAverage="0" equalAverage="0" bottom="0" percent="0" rank="0" text="" dxfId="27">
      <formula>IF($AZ15=$T59,1,0)</formula>
    </cfRule>
  </conditionalFormatting>
  <conditionalFormatting sqref="AZ15">
    <cfRule type="expression" priority="30" aboveAverage="0" equalAverage="0" bottom="0" percent="0" rank="0" text="" dxfId="28">
      <formula>IF($AZ15=$T59,1,0)</formula>
    </cfRule>
    <cfRule type="expression" priority="31" aboveAverage="0" equalAverage="0" bottom="0" percent="0" rank="0" text="" dxfId="29">
      <formula>IF($AZ14=$T59,1,0)</formula>
    </cfRule>
  </conditionalFormatting>
  <conditionalFormatting sqref="AZ34">
    <cfRule type="expression" priority="32" aboveAverage="0" equalAverage="0" bottom="0" percent="0" rank="0" text="" dxfId="30">
      <formula>IF($AZ34=$T64,1,0)</formula>
    </cfRule>
    <cfRule type="expression" priority="33" aboveAverage="0" equalAverage="0" bottom="0" percent="0" rank="0" text="" dxfId="31">
      <formula>IF($AZ35=$T64,1,0)</formula>
    </cfRule>
  </conditionalFormatting>
  <conditionalFormatting sqref="AZ35">
    <cfRule type="expression" priority="34" aboveAverage="0" equalAverage="0" bottom="0" percent="0" rank="0" text="" dxfId="32">
      <formula>IF($AZ35=$T64,1,0)</formula>
    </cfRule>
    <cfRule type="expression" priority="35" aboveAverage="0" equalAverage="0" bottom="0" percent="0" rank="0" text="" dxfId="33">
      <formula>IF($AZ34=$T64,1,0)</formula>
    </cfRule>
  </conditionalFormatting>
  <conditionalFormatting sqref="AZ38">
    <cfRule type="expression" priority="36" aboveAverage="0" equalAverage="0" bottom="0" percent="0" rank="0" text="" dxfId="34">
      <formula>IF($AZ38=$T65,1,0)</formula>
    </cfRule>
    <cfRule type="expression" priority="37" aboveAverage="0" equalAverage="0" bottom="0" percent="0" rank="0" text="" dxfId="35">
      <formula>IF($AZ39=$T65,1,0)</formula>
    </cfRule>
  </conditionalFormatting>
  <conditionalFormatting sqref="AZ39">
    <cfRule type="expression" priority="38" aboveAverage="0" equalAverage="0" bottom="0" percent="0" rank="0" text="" dxfId="36">
      <formula>IF($AZ39=$T65,1,0)</formula>
    </cfRule>
    <cfRule type="expression" priority="39" aboveAverage="0" equalAverage="0" bottom="0" percent="0" rank="0" text="" dxfId="37">
      <formula>IF($AZ38=$T65,1,0)</formula>
    </cfRule>
  </conditionalFormatting>
  <conditionalFormatting sqref="AZ26">
    <cfRule type="expression" priority="40" aboveAverage="0" equalAverage="0" bottom="0" percent="0" rank="0" text="" dxfId="38">
      <formula>IF($AZ26=$T60,1,0)</formula>
    </cfRule>
    <cfRule type="expression" priority="41" aboveAverage="0" equalAverage="0" bottom="0" percent="0" rank="0" text="" dxfId="39">
      <formula>IF($AZ27=$T60,а,0)</formula>
    </cfRule>
  </conditionalFormatting>
  <conditionalFormatting sqref="AZ27">
    <cfRule type="expression" priority="42" aboveAverage="0" equalAverage="0" bottom="0" percent="0" rank="0" text="" dxfId="40">
      <formula>IF($AZ27=$T60,1,0)</formula>
    </cfRule>
    <cfRule type="expression" priority="43" aboveAverage="0" equalAverage="0" bottom="0" percent="0" rank="0" text="" dxfId="41">
      <formula>IF($AZ26=$T60,1,0)</formula>
    </cfRule>
  </conditionalFormatting>
  <conditionalFormatting sqref="AZ30">
    <cfRule type="expression" priority="44" aboveAverage="0" equalAverage="0" bottom="0" percent="0" rank="0" text="" dxfId="42">
      <formula>IF($AZ30=$T61,1,0)</formula>
    </cfRule>
    <cfRule type="expression" priority="45" aboveAverage="0" equalAverage="0" bottom="0" percent="0" rank="0" text="" dxfId="43">
      <formula>IF($AZ31=$T61,1,0)</formula>
    </cfRule>
  </conditionalFormatting>
  <conditionalFormatting sqref="AZ31">
    <cfRule type="expression" priority="46" aboveAverage="0" equalAverage="0" bottom="0" percent="0" rank="0" text="" dxfId="44">
      <formula>IF($AZ31=$T61,1,0)</formula>
    </cfRule>
    <cfRule type="expression" priority="47" aboveAverage="0" equalAverage="0" bottom="0" percent="0" rank="0" text="" dxfId="45">
      <formula>IF($AZ30=$T61,1,0)</formula>
    </cfRule>
  </conditionalFormatting>
  <conditionalFormatting sqref="AZ18">
    <cfRule type="expression" priority="48" aboveAverage="0" equalAverage="0" bottom="0" percent="0" rank="0" text="" dxfId="46">
      <formula>IF($AZ18=$T62,1,0)</formula>
    </cfRule>
    <cfRule type="expression" priority="49" aboveAverage="0" equalAverage="0" bottom="0" percent="0" rank="0" text="" dxfId="47">
      <formula>IF($AZ19=$T62,1,0)</formula>
    </cfRule>
  </conditionalFormatting>
  <conditionalFormatting sqref="AZ19">
    <cfRule type="expression" priority="50" aboveAverage="0" equalAverage="0" bottom="0" percent="0" rank="0" text="" dxfId="48">
      <formula>IF($AZ19=$T62,1,0)</formula>
    </cfRule>
    <cfRule type="expression" priority="51" aboveAverage="0" equalAverage="0" bottom="0" percent="0" rank="0" text="" dxfId="49">
      <formula>IF($AZ18=$T62,1,0)</formula>
    </cfRule>
  </conditionalFormatting>
  <conditionalFormatting sqref="AZ22">
    <cfRule type="expression" priority="52" aboveAverage="0" equalAverage="0" bottom="0" percent="0" rank="0" text="" dxfId="50">
      <formula>IF($AZ22=$T63,1,0)</formula>
    </cfRule>
    <cfRule type="expression" priority="53" aboveAverage="0" equalAverage="0" bottom="0" percent="0" rank="0" text="" dxfId="51">
      <formula>IF($AZ23=$T63,1,0)</formula>
    </cfRule>
  </conditionalFormatting>
  <conditionalFormatting sqref="AZ23">
    <cfRule type="expression" priority="54" aboveAverage="0" equalAverage="0" bottom="0" percent="0" rank="0" text="" dxfId="52">
      <formula>IF($AZ23=$T63,1,0)</formula>
    </cfRule>
    <cfRule type="expression" priority="55" aboveAverage="0" equalAverage="0" bottom="0" percent="0" rank="0" text="" dxfId="53">
      <formula>IF($AZ22=$T63,1,0)</formula>
    </cfRule>
  </conditionalFormatting>
  <conditionalFormatting sqref="BF12">
    <cfRule type="expression" priority="56" aboveAverage="0" equalAverage="0" bottom="0" percent="0" rank="0" text="" dxfId="54">
      <formula>IF($BF12=$T69,1,0)</formula>
    </cfRule>
    <cfRule type="expression" priority="57" aboveAverage="0" equalAverage="0" bottom="0" percent="0" rank="0" text="" dxfId="55">
      <formula>IF($BF13=$T69,1,0)</formula>
    </cfRule>
  </conditionalFormatting>
  <conditionalFormatting sqref="BF13">
    <cfRule type="expression" priority="58" aboveAverage="0" equalAverage="0" bottom="0" percent="0" rank="0" text="" dxfId="56">
      <formula>IF($BF13=$T69,1,0)</formula>
    </cfRule>
    <cfRule type="expression" priority="59" aboveAverage="0" equalAverage="0" bottom="0" percent="0" rank="0" text="" dxfId="57">
      <formula>IF($BF12=$T69,1,0)</formula>
    </cfRule>
  </conditionalFormatting>
  <conditionalFormatting sqref="BF20">
    <cfRule type="expression" priority="60" aboveAverage="0" equalAverage="0" bottom="0" percent="0" rank="0" text="" dxfId="58">
      <formula>IF($BF20=$T70,1,0)</formula>
    </cfRule>
    <cfRule type="expression" priority="61" aboveAverage="0" equalAverage="0" bottom="0" percent="0" rank="0" text="" dxfId="59">
      <formula>IF($BF21=$T70,1,0)</formula>
    </cfRule>
  </conditionalFormatting>
  <conditionalFormatting sqref="BF21">
    <cfRule type="expression" priority="62" aboveAverage="0" equalAverage="0" bottom="0" percent="0" rank="0" text="" dxfId="60">
      <formula>IF($BF21=$T70,1,0)</formula>
    </cfRule>
    <cfRule type="expression" priority="63" aboveAverage="0" equalAverage="0" bottom="0" percent="0" rank="0" text="" dxfId="61">
      <formula>IF($BF20=$T70,1,0)</formula>
    </cfRule>
  </conditionalFormatting>
  <conditionalFormatting sqref="BF28">
    <cfRule type="expression" priority="64" aboveAverage="0" equalAverage="0" bottom="0" percent="0" rank="0" text="" dxfId="62">
      <formula>IF($BF28=$T71,1,0)</formula>
    </cfRule>
    <cfRule type="expression" priority="65" aboveAverage="0" equalAverage="0" bottom="0" percent="0" rank="0" text="" dxfId="63">
      <formula>IF($BF29=$T71,1,0)</formula>
    </cfRule>
  </conditionalFormatting>
  <conditionalFormatting sqref="BF29">
    <cfRule type="expression" priority="66" aboveAverage="0" equalAverage="0" bottom="0" percent="0" rank="0" text="" dxfId="64">
      <formula>IF($BF29=$T71,1,0)</formula>
    </cfRule>
    <cfRule type="expression" priority="67" aboveAverage="0" equalAverage="0" bottom="0" percent="0" rank="0" text="" dxfId="65">
      <formula>IF($BF28=$T71,1,0)</formula>
    </cfRule>
  </conditionalFormatting>
  <conditionalFormatting sqref="BF36">
    <cfRule type="expression" priority="68" aboveAverage="0" equalAverage="0" bottom="0" percent="0" rank="0" text="" dxfId="66">
      <formula>IF($BF36=$T72,1,0)</formula>
    </cfRule>
    <cfRule type="expression" priority="69" aboveAverage="0" equalAverage="0" bottom="0" percent="0" rank="0" text="" dxfId="67">
      <formula>IF($BF37=$T72,1,0)</formula>
    </cfRule>
  </conditionalFormatting>
  <conditionalFormatting sqref="BF37">
    <cfRule type="expression" priority="70" aboveAverage="0" equalAverage="0" bottom="0" percent="0" rank="0" text="" dxfId="68">
      <formula>IF($BF37=$T72,1,0)</formula>
    </cfRule>
    <cfRule type="expression" priority="71" aboveAverage="0" equalAverage="0" bottom="0" percent="0" rank="0" text="" dxfId="69">
      <formula>IF($BF36=$T72,1,0)</formula>
    </cfRule>
  </conditionalFormatting>
  <conditionalFormatting sqref="BL16">
    <cfRule type="expression" priority="72" aboveAverage="0" equalAverage="0" bottom="0" percent="0" rank="0" text="" dxfId="70">
      <formula>IF($BL16=$T76,1,0)</formula>
    </cfRule>
    <cfRule type="expression" priority="73" aboveAverage="0" equalAverage="0" bottom="0" percent="0" rank="0" text="" dxfId="71">
      <formula>IF($BL17=$T76,1,0)</formula>
    </cfRule>
  </conditionalFormatting>
  <conditionalFormatting sqref="BL17">
    <cfRule type="expression" priority="74" aboveAverage="0" equalAverage="0" bottom="0" percent="0" rank="0" text="" dxfId="72">
      <formula>IF($BL17=$T76,1,0)</formula>
    </cfRule>
    <cfRule type="expression" priority="75" aboveAverage="0" equalAverage="0" bottom="0" percent="0" rank="0" text="" dxfId="73">
      <formula>IF($BL16=$T76,1,0)</formula>
    </cfRule>
  </conditionalFormatting>
  <conditionalFormatting sqref="BL32">
    <cfRule type="expression" priority="76" aboveAverage="0" equalAverage="0" bottom="0" percent="0" rank="0" text="" dxfId="74">
      <formula>IF($BL32=$T77,1,0)</formula>
    </cfRule>
    <cfRule type="expression" priority="77" aboveAverage="0" equalAverage="0" bottom="0" percent="0" rank="0" text="" dxfId="75">
      <formula>IF($BL33=$T77,1,0)</formula>
    </cfRule>
  </conditionalFormatting>
  <conditionalFormatting sqref="BL33">
    <cfRule type="expression" priority="78" aboveAverage="0" equalAverage="0" bottom="0" percent="0" rank="0" text="" dxfId="76">
      <formula>IF($BL33=$T77,1,0)</formula>
    </cfRule>
    <cfRule type="expression" priority="79" aboveAverage="0" equalAverage="0" bottom="0" percent="0" rank="0" text="" dxfId="77">
      <formula>IF($BL32=$T77,1,0)</formula>
    </cfRule>
  </conditionalFormatting>
  <conditionalFormatting sqref="BR23">
    <cfRule type="expression" priority="80" aboveAverage="0" equalAverage="0" bottom="0" percent="0" rank="0" text="" dxfId="78">
      <formula>IF($BR23=$T85,1,0)</formula>
    </cfRule>
    <cfRule type="expression" priority="81" aboveAverage="0" equalAverage="0" bottom="0" percent="0" rank="0" text="" dxfId="79">
      <formula>IF($BR24=$T85,1,0)</formula>
    </cfRule>
  </conditionalFormatting>
  <conditionalFormatting sqref="BR24">
    <cfRule type="expression" priority="82" aboveAverage="0" equalAverage="0" bottom="0" percent="0" rank="0" text="" dxfId="80">
      <formula>IF($BR24=$T85,1,0)</formula>
    </cfRule>
    <cfRule type="expression" priority="83" aboveAverage="0" equalAverage="0" bottom="0" percent="0" rank="0" text="" dxfId="81">
      <formula>IF($BR23=$T85,1,0)</formula>
    </cfRule>
  </conditionalFormatting>
  <conditionalFormatting sqref="BR35">
    <cfRule type="expression" priority="84" aboveAverage="0" equalAverage="0" bottom="0" percent="0" rank="0" text="" dxfId="82">
      <formula>IF($BR35=$T81,1,0)</formula>
    </cfRule>
    <cfRule type="expression" priority="85" aboveAverage="0" equalAverage="0" bottom="0" percent="0" rank="0" text="" dxfId="83">
      <formula>IF($BR36=$T81,1,0)</formula>
    </cfRule>
  </conditionalFormatting>
  <conditionalFormatting sqref="BR36">
    <cfRule type="expression" priority="86" aboveAverage="0" equalAverage="0" bottom="0" percent="0" rank="0" text="" dxfId="84">
      <formula>IF($BR36=$T81,1,0)</formula>
    </cfRule>
    <cfRule type="expression" priority="87" aboveAverage="0" equalAverage="0" bottom="0" percent="0" rank="0" text="" dxfId="85">
      <formula>IF($BR35=$T81,1,0)</formula>
    </cfRule>
  </conditionalFormatting>
  <conditionalFormatting sqref="E7:E54">
    <cfRule type="expression" priority="88" aboveAverage="0" equalAverage="0" bottom="0" percent="0" rank="0" text="" dxfId="86">
      <formula>IF(AND(X7=0,Y7=-1),1,0)</formula>
    </cfRule>
    <cfRule type="expression" priority="89" aboveAverage="0" equalAverage="0" bottom="0" percent="0" rank="0" text="" dxfId="87">
      <formula>IF(AND(X7=1,Y7=-1),1,0)</formula>
    </cfRule>
    <cfRule type="expression" priority="90" aboveAverage="0" equalAverage="0" bottom="0" percent="0" rank="0" text="" dxfId="88">
      <formula>IF(AND(X7=0,Y7=1),1,0)</formula>
    </cfRule>
    <cfRule type="expression" priority="91" aboveAverage="0" equalAverage="0" bottom="0" percent="0" rank="0" text="" dxfId="89">
      <formula>IF(AND(X7=1,Y7=1),1,0)</formula>
    </cfRule>
    <cfRule type="expression" priority="92" aboveAverage="0" equalAverage="0" bottom="0" percent="0" rank="0" text="" dxfId="90">
      <formula>IF(AND(X7=0,Y7=0),1,0)</formula>
    </cfRule>
    <cfRule type="expression" priority="93" aboveAverage="0" equalAverage="0" bottom="0" percent="0" rank="0" text="" dxfId="91">
      <formula>IF(AND(X7=1,Y7=0),1,0)</formula>
    </cfRule>
  </conditionalFormatting>
  <conditionalFormatting sqref="H7:H54">
    <cfRule type="expression" priority="94" aboveAverage="0" equalAverage="0" bottom="0" percent="0" rank="0" text="" dxfId="92">
      <formula>IF(AND(X7=0,Y7=-1),1,0)</formula>
    </cfRule>
    <cfRule type="expression" priority="95" aboveAverage="0" equalAverage="0" bottom="0" percent="0" rank="0" text="" dxfId="93">
      <formula>IF(AND(X7=1,Y7=-1),1,0)</formula>
    </cfRule>
    <cfRule type="expression" priority="96" aboveAverage="0" equalAverage="0" bottom="0" percent="0" rank="0" text="" dxfId="94">
      <formula>IF(AND(X7=0,Y7=1),1,0)</formula>
    </cfRule>
    <cfRule type="expression" priority="97" aboveAverage="0" equalAverage="0" bottom="0" percent="0" rank="0" text="" dxfId="95">
      <formula>IF(AND(X7=1,Y7=1),1,0)</formula>
    </cfRule>
    <cfRule type="expression" priority="98" aboveAverage="0" equalAverage="0" bottom="0" percent="0" rank="0" text="" dxfId="96">
      <formula>IF(AND(X7=0,Y7=0),1,0)</formula>
    </cfRule>
    <cfRule type="expression" priority="99" aboveAverage="0" equalAverage="0" bottom="0" percent="0" rank="0" text="" dxfId="97">
      <formula>IF(AND(X7=1,Y7=0),1,0)</formula>
    </cfRule>
    <cfRule type="expression" priority="100" aboveAverage="0" equalAverage="0" bottom="0" percent="0" rank="0" text="" dxfId="98">
      <formula>IF(AND(X7=1,Y7=""),1,0)</formula>
    </cfRule>
  </conditionalFormatting>
  <conditionalFormatting sqref="A7:E54">
    <cfRule type="expression" priority="101" aboveAverage="0" equalAverage="0" bottom="0" percent="0" rank="0" text="" dxfId="99">
      <formula>IF($X7=1,1,0)</formula>
    </cfRule>
  </conditionalFormatting>
  <dataValidations count="2">
    <dataValidation allowBlank="true" operator="equal" showDropDown="false" showErrorMessage="true" showInputMessage="true" sqref="F7:G55 BA10:BA11 BG12:BG13 BA14:BA15 BM16:BM17 BA18:BA19 BG20:BG21 BA22:BA23 BS23:BS24 BA26:BA27 BG28:BG29 BA30:BA31 BM32:BM33 BA34:BA35 BS35:BS36 BG36:BG37 BA38:BA39" type="list">
      <formula1>"0,1,2,3,4,5,6,7,8,9"</formula1>
      <formula2>0</formula2>
    </dataValidation>
    <dataValidation allowBlank="true" operator="equal" showDropDown="false" showErrorMessage="true" showInputMessage="true" sqref="BB10:BB11 BH12:BH13 BB14:BB15 BN16:BN17 BB18:BB19 BH20:BH21 BB22:BB23 BT23:BT24 BB26:BB27 BH28:BH29 BB30:BB31 BN32:BN33 BB34:BB35 BT35:BT36 BH36:BH37 BB38:BB39" type="list">
      <formula1>"0,1,2,3,4,5,6,7,8,9,10,11,12,13,14,15,16,17,18,19,20"</formula1>
      <formula2>0</formula2>
    </dataValidation>
  </dataValidations>
  <hyperlinks>
    <hyperlink ref="J5" r:id="rId1" display="Home Page: www.excely.com"/>
    <hyperlink ref="AY46" r:id="rId2" display="FIFA World Cup&#10;Historical Data&#10;1930 - 2014"/>
  </hyperlinks>
  <printOptions headings="false" gridLines="false" gridLinesSet="true" horizontalCentered="true" verticalCentered="true"/>
  <pageMargins left="0.7" right="0.7" top="0.75" bottom="0.75" header="0.511805555555555" footer="0.3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&amp;Cwww.excely.com (c) 2018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1103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2017-12-27T19:32:51Z</dcterms:created>
  <dc:creator>Denys Kozyr</dc:creator>
  <dc:description/>
  <cp:keywords>fifa world cup schedule spreadsheet</cp:keywords>
  <dc:language>es-CL</dc:language>
  <cp:lastModifiedBy/>
  <cp:lastPrinted>2018-01-03T15:36:04Z</cp:lastPrinted>
  <dcterms:modified xsi:type="dcterms:W3CDTF">2018-06-27T18:56:31Z</dcterms:modified>
  <cp:revision>27</cp:revision>
  <dc:subject/>
  <dc:title>2018 FIFA World Cup Schedule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