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1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2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D:\My Documents\My Work\"/>
    </mc:Choice>
  </mc:AlternateContent>
  <xr:revisionPtr revIDLastSave="0" documentId="13_ncr:1_{9F05343B-4F40-4FB0-84E4-51488231EF99}" xr6:coauthVersionLast="47" xr6:coauthVersionMax="47" xr10:uidLastSave="{00000000-0000-0000-0000-000000000000}"/>
  <bookViews>
    <workbookView xWindow="-120" yWindow="-120" windowWidth="51840" windowHeight="21120" activeTab="7" xr2:uid="{418A610B-10BA-4BD8-88CC-101BFEBDFC24}"/>
  </bookViews>
  <sheets>
    <sheet name="Instructions" sheetId="12" r:id="rId1"/>
    <sheet name="GK Cash Flow 2017" sheetId="11" r:id="rId2"/>
    <sheet name="GK Cash Flow 2018" sheetId="10" r:id="rId3"/>
    <sheet name="GK Cash Flow 2019" sheetId="9" r:id="rId4"/>
    <sheet name="GK Cash Flow 2020" sheetId="8" r:id="rId5"/>
    <sheet name="GK Cash Flow 2021" sheetId="7" r:id="rId6"/>
    <sheet name="GK Cash Flow 2022" sheetId="5" r:id="rId7"/>
    <sheet name="GK Cash Flow 2023 N" sheetId="14" r:id="rId8"/>
    <sheet name="GK Cash Flow 2024" sheetId="1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9" i="14" l="1"/>
  <c r="AC4" i="14"/>
  <c r="AC5" i="14" s="1"/>
  <c r="AC6" i="14" s="1"/>
  <c r="AC7" i="14" s="1"/>
  <c r="AC8" i="14" s="1"/>
  <c r="AC9" i="14" s="1"/>
  <c r="AC10" i="14" s="1"/>
  <c r="AC11" i="14" s="1"/>
  <c r="AC12" i="14" s="1"/>
  <c r="AC13" i="14" s="1"/>
  <c r="AC14" i="14" s="1"/>
  <c r="AC15" i="14" s="1"/>
  <c r="AC16" i="14" s="1"/>
  <c r="AC17" i="14" s="1"/>
  <c r="AC18" i="14" s="1"/>
  <c r="AC19" i="14" s="1"/>
  <c r="AC20" i="14" s="1"/>
  <c r="AC21" i="14" s="1"/>
  <c r="AC22" i="14" s="1"/>
  <c r="AC23" i="14" s="1"/>
  <c r="AC24" i="14" s="1"/>
  <c r="AC25" i="14" s="1"/>
  <c r="AC26" i="14" s="1"/>
  <c r="AC27" i="14" s="1"/>
  <c r="AC28" i="14" s="1"/>
  <c r="AC3" i="14"/>
  <c r="X4" i="15"/>
  <c r="X3" i="15"/>
  <c r="B2" i="15" l="1"/>
  <c r="D2" i="15"/>
  <c r="AC2" i="14"/>
  <c r="X2" i="15"/>
  <c r="Y2" i="15" s="1"/>
  <c r="H12" i="15"/>
  <c r="H11" i="15"/>
  <c r="H10" i="15"/>
  <c r="H9" i="15"/>
  <c r="H8" i="15"/>
  <c r="H7" i="15"/>
  <c r="H6" i="15"/>
  <c r="H5" i="15"/>
  <c r="H4" i="15"/>
  <c r="H3" i="15"/>
  <c r="H2" i="15"/>
  <c r="F12" i="15"/>
  <c r="F11" i="15"/>
  <c r="F10" i="15"/>
  <c r="F9" i="15"/>
  <c r="F8" i="15"/>
  <c r="F7" i="15"/>
  <c r="F6" i="15"/>
  <c r="F5" i="15"/>
  <c r="F4" i="15"/>
  <c r="F3" i="15"/>
  <c r="F2" i="15"/>
  <c r="D12" i="15"/>
  <c r="D11" i="15"/>
  <c r="D10" i="15"/>
  <c r="D9" i="15"/>
  <c r="D8" i="15"/>
  <c r="D7" i="15"/>
  <c r="D6" i="15"/>
  <c r="D5" i="15"/>
  <c r="D4" i="15"/>
  <c r="D3" i="15"/>
  <c r="B12" i="15"/>
  <c r="B11" i="15"/>
  <c r="B10" i="15"/>
  <c r="B9" i="15"/>
  <c r="B8" i="15"/>
  <c r="B7" i="15"/>
  <c r="B6" i="15"/>
  <c r="B5" i="15"/>
  <c r="B4" i="15"/>
  <c r="B3" i="15"/>
  <c r="AW29" i="15"/>
  <c r="AO12" i="15"/>
  <c r="AO11" i="15"/>
  <c r="AO10" i="15"/>
  <c r="AO9" i="15"/>
  <c r="AO8" i="15"/>
  <c r="AO7" i="15"/>
  <c r="AO6" i="15"/>
  <c r="AO5" i="15"/>
  <c r="AO4" i="15"/>
  <c r="AO3" i="15"/>
  <c r="AC2" i="15"/>
  <c r="AJ29" i="15"/>
  <c r="AH29" i="15"/>
  <c r="AE29" i="15"/>
  <c r="AO28" i="15"/>
  <c r="H28" i="15"/>
  <c r="F28" i="15"/>
  <c r="D28" i="15"/>
  <c r="B28" i="15"/>
  <c r="AO27" i="15"/>
  <c r="H27" i="15"/>
  <c r="F27" i="15"/>
  <c r="D27" i="15"/>
  <c r="B27" i="15"/>
  <c r="AO26" i="15"/>
  <c r="H26" i="15"/>
  <c r="F26" i="15"/>
  <c r="D26" i="15"/>
  <c r="B26" i="15"/>
  <c r="AO25" i="15"/>
  <c r="H25" i="15"/>
  <c r="F25" i="15"/>
  <c r="D25" i="15"/>
  <c r="B25" i="15"/>
  <c r="AO24" i="15"/>
  <c r="H24" i="15"/>
  <c r="F24" i="15"/>
  <c r="D24" i="15"/>
  <c r="B24" i="15"/>
  <c r="AO23" i="15"/>
  <c r="H23" i="15"/>
  <c r="F23" i="15"/>
  <c r="D23" i="15"/>
  <c r="B23" i="15"/>
  <c r="AO22" i="15"/>
  <c r="H22" i="15"/>
  <c r="F22" i="15"/>
  <c r="D22" i="15"/>
  <c r="B22" i="15"/>
  <c r="AO21" i="15"/>
  <c r="H21" i="15"/>
  <c r="F21" i="15"/>
  <c r="D21" i="15"/>
  <c r="B21" i="15"/>
  <c r="AO20" i="15"/>
  <c r="H20" i="15"/>
  <c r="F20" i="15"/>
  <c r="D20" i="15"/>
  <c r="B20" i="15"/>
  <c r="AO19" i="15"/>
  <c r="H19" i="15"/>
  <c r="F19" i="15"/>
  <c r="D19" i="15"/>
  <c r="B19" i="15"/>
  <c r="AO18" i="15"/>
  <c r="H18" i="15"/>
  <c r="F18" i="15"/>
  <c r="D18" i="15"/>
  <c r="B18" i="15"/>
  <c r="AO17" i="15"/>
  <c r="H17" i="15"/>
  <c r="F17" i="15"/>
  <c r="D17" i="15"/>
  <c r="B17" i="15"/>
  <c r="AO16" i="15"/>
  <c r="H16" i="15"/>
  <c r="F16" i="15"/>
  <c r="D16" i="15"/>
  <c r="B16" i="15"/>
  <c r="AO15" i="15"/>
  <c r="H15" i="15"/>
  <c r="F15" i="15"/>
  <c r="D15" i="15"/>
  <c r="B15" i="15"/>
  <c r="AO14" i="15"/>
  <c r="H14" i="15"/>
  <c r="F14" i="15"/>
  <c r="D14" i="15"/>
  <c r="B14" i="15"/>
  <c r="AO13" i="15"/>
  <c r="H13" i="15"/>
  <c r="F13" i="15"/>
  <c r="D13" i="15"/>
  <c r="B13" i="15"/>
  <c r="R5" i="15"/>
  <c r="R6" i="15" s="1"/>
  <c r="R7" i="15" s="1"/>
  <c r="R8" i="15" s="1"/>
  <c r="R9" i="15" s="1"/>
  <c r="R10" i="15" s="1"/>
  <c r="R11" i="15" s="1"/>
  <c r="R12" i="15" s="1"/>
  <c r="R13" i="15" s="1"/>
  <c r="R14" i="15" s="1"/>
  <c r="R15" i="15" s="1"/>
  <c r="R16" i="15" s="1"/>
  <c r="R17" i="15" s="1"/>
  <c r="R18" i="15" s="1"/>
  <c r="R19" i="15" s="1"/>
  <c r="R20" i="15" s="1"/>
  <c r="R21" i="15" s="1"/>
  <c r="R22" i="15" s="1"/>
  <c r="R23" i="15" s="1"/>
  <c r="R24" i="15" s="1"/>
  <c r="R25" i="15" s="1"/>
  <c r="R26" i="15" s="1"/>
  <c r="R27" i="15" s="1"/>
  <c r="R28" i="15" s="1"/>
  <c r="AZ3" i="15"/>
  <c r="AZ4" i="15" s="1"/>
  <c r="AZ5" i="15" s="1"/>
  <c r="AZ6" i="15" s="1"/>
  <c r="AZ7" i="15" s="1"/>
  <c r="AZ8" i="15" s="1"/>
  <c r="AZ9" i="15" s="1"/>
  <c r="AZ10" i="15" s="1"/>
  <c r="AZ11" i="15" s="1"/>
  <c r="AZ12" i="15" s="1"/>
  <c r="AZ13" i="15" s="1"/>
  <c r="AZ14" i="15" s="1"/>
  <c r="AZ15" i="15" s="1"/>
  <c r="AZ16" i="15" s="1"/>
  <c r="AZ17" i="15" s="1"/>
  <c r="AZ18" i="15" s="1"/>
  <c r="AZ19" i="15" s="1"/>
  <c r="AZ20" i="15" s="1"/>
  <c r="AZ21" i="15" s="1"/>
  <c r="AZ22" i="15" s="1"/>
  <c r="AZ23" i="15" s="1"/>
  <c r="AZ24" i="15" s="1"/>
  <c r="AZ25" i="15" s="1"/>
  <c r="AZ26" i="15" s="1"/>
  <c r="AZ27" i="15" s="1"/>
  <c r="AZ28" i="15" s="1"/>
  <c r="W3" i="15"/>
  <c r="W4" i="15" s="1"/>
  <c r="W5" i="15" s="1"/>
  <c r="W6" i="15" s="1"/>
  <c r="W7" i="15" s="1"/>
  <c r="W8" i="15" s="1"/>
  <c r="W9" i="15" s="1"/>
  <c r="W10" i="15" s="1"/>
  <c r="W11" i="15" s="1"/>
  <c r="W12" i="15" s="1"/>
  <c r="W13" i="15" s="1"/>
  <c r="W14" i="15" s="1"/>
  <c r="W15" i="15" s="1"/>
  <c r="W16" i="15" s="1"/>
  <c r="W17" i="15" s="1"/>
  <c r="W18" i="15" s="1"/>
  <c r="W19" i="15" s="1"/>
  <c r="W20" i="15" s="1"/>
  <c r="W21" i="15" s="1"/>
  <c r="W22" i="15" s="1"/>
  <c r="W23" i="15" s="1"/>
  <c r="W24" i="15" s="1"/>
  <c r="W25" i="15" s="1"/>
  <c r="W26" i="15" s="1"/>
  <c r="W27" i="15" s="1"/>
  <c r="W28" i="15" s="1"/>
  <c r="V3" i="15"/>
  <c r="V4" i="15" s="1"/>
  <c r="V5" i="15" s="1"/>
  <c r="V6" i="15" s="1"/>
  <c r="V7" i="15" s="1"/>
  <c r="V8" i="15" s="1"/>
  <c r="V9" i="15" s="1"/>
  <c r="V10" i="15" s="1"/>
  <c r="V11" i="15" s="1"/>
  <c r="V12" i="15" s="1"/>
  <c r="V13" i="15" s="1"/>
  <c r="V14" i="15" s="1"/>
  <c r="V15" i="15" s="1"/>
  <c r="V16" i="15" s="1"/>
  <c r="V17" i="15" s="1"/>
  <c r="V18" i="15" s="1"/>
  <c r="V19" i="15" s="1"/>
  <c r="V20" i="15" s="1"/>
  <c r="V21" i="15" s="1"/>
  <c r="V22" i="15" s="1"/>
  <c r="V23" i="15" s="1"/>
  <c r="V24" i="15" s="1"/>
  <c r="V25" i="15" s="1"/>
  <c r="V26" i="15" s="1"/>
  <c r="V27" i="15" s="1"/>
  <c r="V28" i="15" s="1"/>
  <c r="T3" i="15"/>
  <c r="T4" i="15" s="1"/>
  <c r="T5" i="15" s="1"/>
  <c r="T6" i="15" s="1"/>
  <c r="T7" i="15" s="1"/>
  <c r="T8" i="15" s="1"/>
  <c r="T9" i="15" s="1"/>
  <c r="T10" i="15" s="1"/>
  <c r="T11" i="15" s="1"/>
  <c r="T12" i="15" s="1"/>
  <c r="T13" i="15" s="1"/>
  <c r="T14" i="15" s="1"/>
  <c r="T15" i="15" s="1"/>
  <c r="T16" i="15" s="1"/>
  <c r="T17" i="15" s="1"/>
  <c r="T18" i="15" s="1"/>
  <c r="T19" i="15" s="1"/>
  <c r="T20" i="15" s="1"/>
  <c r="T21" i="15" s="1"/>
  <c r="T22" i="15" s="1"/>
  <c r="T23" i="15" s="1"/>
  <c r="T24" i="15" s="1"/>
  <c r="T25" i="15" s="1"/>
  <c r="T26" i="15" s="1"/>
  <c r="T27" i="15" s="1"/>
  <c r="T28" i="15" s="1"/>
  <c r="R3" i="15"/>
  <c r="R4" i="15" s="1"/>
  <c r="M3" i="15"/>
  <c r="M4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O2" i="15"/>
  <c r="AK2" i="15"/>
  <c r="AK3" i="15" s="1"/>
  <c r="AK4" i="15" s="1"/>
  <c r="AK5" i="15" s="1"/>
  <c r="AK6" i="15" s="1"/>
  <c r="AK7" i="15" s="1"/>
  <c r="AK8" i="15" s="1"/>
  <c r="AK9" i="15" s="1"/>
  <c r="AK10" i="15" s="1"/>
  <c r="AK11" i="15" s="1"/>
  <c r="AK12" i="15" s="1"/>
  <c r="AK13" i="15" s="1"/>
  <c r="AK14" i="15" s="1"/>
  <c r="AK15" i="15" s="1"/>
  <c r="AK16" i="15" s="1"/>
  <c r="AK17" i="15" s="1"/>
  <c r="AK18" i="15" s="1"/>
  <c r="AK19" i="15" s="1"/>
  <c r="AK20" i="15" s="1"/>
  <c r="AK21" i="15" s="1"/>
  <c r="AK22" i="15" s="1"/>
  <c r="AK23" i="15" s="1"/>
  <c r="AK24" i="15" s="1"/>
  <c r="AK25" i="15" s="1"/>
  <c r="AK26" i="15" s="1"/>
  <c r="AK27" i="15" s="1"/>
  <c r="AK28" i="15" s="1"/>
  <c r="AI2" i="15"/>
  <c r="AI3" i="15" s="1"/>
  <c r="AI4" i="15" s="1"/>
  <c r="AI5" i="15" s="1"/>
  <c r="AI6" i="15" s="1"/>
  <c r="AI7" i="15" s="1"/>
  <c r="AI8" i="15" s="1"/>
  <c r="AI9" i="15" s="1"/>
  <c r="AI10" i="15" s="1"/>
  <c r="AI11" i="15" s="1"/>
  <c r="AI12" i="15" s="1"/>
  <c r="AI13" i="15" s="1"/>
  <c r="AI14" i="15" s="1"/>
  <c r="AI15" i="15" s="1"/>
  <c r="AI16" i="15" s="1"/>
  <c r="AI17" i="15" s="1"/>
  <c r="AI18" i="15" s="1"/>
  <c r="AI19" i="15" s="1"/>
  <c r="AI20" i="15" s="1"/>
  <c r="AI21" i="15" s="1"/>
  <c r="AI22" i="15" s="1"/>
  <c r="AI23" i="15" s="1"/>
  <c r="AI24" i="15" s="1"/>
  <c r="AI25" i="15" s="1"/>
  <c r="AI26" i="15" s="1"/>
  <c r="AI27" i="15" s="1"/>
  <c r="AI28" i="15" s="1"/>
  <c r="AF2" i="15"/>
  <c r="AF3" i="15" s="1"/>
  <c r="AF4" i="15" s="1"/>
  <c r="AF5" i="15" s="1"/>
  <c r="AF6" i="15" s="1"/>
  <c r="AF7" i="15" s="1"/>
  <c r="AF8" i="15" s="1"/>
  <c r="AF9" i="15" s="1"/>
  <c r="AF10" i="15" s="1"/>
  <c r="AF11" i="15" s="1"/>
  <c r="AF12" i="15" s="1"/>
  <c r="AF13" i="15" s="1"/>
  <c r="AF14" i="15" s="1"/>
  <c r="AF15" i="15" s="1"/>
  <c r="AF16" i="15" s="1"/>
  <c r="AF17" i="15" s="1"/>
  <c r="AF18" i="15" s="1"/>
  <c r="AF19" i="15" s="1"/>
  <c r="AF20" i="15" s="1"/>
  <c r="AF21" i="15" s="1"/>
  <c r="AF22" i="15" s="1"/>
  <c r="AF23" i="15" s="1"/>
  <c r="AF24" i="15" s="1"/>
  <c r="AF25" i="15" s="1"/>
  <c r="AF26" i="15" s="1"/>
  <c r="AF27" i="15" s="1"/>
  <c r="AF28" i="15" s="1"/>
  <c r="AW2" i="11"/>
  <c r="AW3" i="11" s="1"/>
  <c r="AW4" i="11" s="1"/>
  <c r="AW5" i="11" s="1"/>
  <c r="AW6" i="11" s="1"/>
  <c r="AW7" i="11" s="1"/>
  <c r="AW8" i="11" s="1"/>
  <c r="AW9" i="11" s="1"/>
  <c r="AW10" i="11" s="1"/>
  <c r="AW11" i="11" s="1"/>
  <c r="AW12" i="11" s="1"/>
  <c r="AW13" i="11" s="1"/>
  <c r="AW14" i="11" s="1"/>
  <c r="AW15" i="11" s="1"/>
  <c r="AW16" i="11" s="1"/>
  <c r="AW17" i="11" s="1"/>
  <c r="AW18" i="11" s="1"/>
  <c r="AW19" i="11" s="1"/>
  <c r="AW20" i="11" s="1"/>
  <c r="AW21" i="11" s="1"/>
  <c r="AW22" i="11" s="1"/>
  <c r="AW23" i="11" s="1"/>
  <c r="AW24" i="11" s="1"/>
  <c r="AW25" i="11" s="1"/>
  <c r="AW26" i="11" s="1"/>
  <c r="AW27" i="11" s="1"/>
  <c r="AW28" i="11" s="1"/>
  <c r="AW2" i="10"/>
  <c r="AW3" i="10" s="1"/>
  <c r="AW4" i="10" s="1"/>
  <c r="AW5" i="10" s="1"/>
  <c r="AW6" i="10" s="1"/>
  <c r="AW7" i="10" s="1"/>
  <c r="AW8" i="10" s="1"/>
  <c r="AW9" i="10" s="1"/>
  <c r="AW10" i="10" s="1"/>
  <c r="AW11" i="10" s="1"/>
  <c r="AW12" i="10" s="1"/>
  <c r="AW13" i="10" s="1"/>
  <c r="AW14" i="10" s="1"/>
  <c r="AW15" i="10" s="1"/>
  <c r="AW16" i="10" s="1"/>
  <c r="AW17" i="10" s="1"/>
  <c r="AW18" i="10" s="1"/>
  <c r="AW19" i="10" s="1"/>
  <c r="AW20" i="10" s="1"/>
  <c r="AW21" i="10" s="1"/>
  <c r="AW22" i="10" s="1"/>
  <c r="AW23" i="10" s="1"/>
  <c r="AW24" i="10" s="1"/>
  <c r="AW25" i="10" s="1"/>
  <c r="AW26" i="10" s="1"/>
  <c r="AW27" i="10" s="1"/>
  <c r="AW28" i="10" s="1"/>
  <c r="AW2" i="9"/>
  <c r="AW3" i="9" s="1"/>
  <c r="AW4" i="9" s="1"/>
  <c r="AW5" i="9" s="1"/>
  <c r="AW6" i="9" s="1"/>
  <c r="AW7" i="9" s="1"/>
  <c r="AW8" i="9" s="1"/>
  <c r="AW9" i="9" s="1"/>
  <c r="AW10" i="9" s="1"/>
  <c r="AW11" i="9" s="1"/>
  <c r="AW12" i="9" s="1"/>
  <c r="AW13" i="9" s="1"/>
  <c r="AW14" i="9" s="1"/>
  <c r="AW15" i="9" s="1"/>
  <c r="AW16" i="9" s="1"/>
  <c r="AW17" i="9" s="1"/>
  <c r="AW18" i="9" s="1"/>
  <c r="AW19" i="9" s="1"/>
  <c r="AW20" i="9" s="1"/>
  <c r="AW21" i="9" s="1"/>
  <c r="AW22" i="9" s="1"/>
  <c r="AW23" i="9" s="1"/>
  <c r="AW24" i="9" s="1"/>
  <c r="AW25" i="9" s="1"/>
  <c r="AW26" i="9" s="1"/>
  <c r="AW27" i="9" s="1"/>
  <c r="AW28" i="9" s="1"/>
  <c r="AW2" i="8"/>
  <c r="AW3" i="8" s="1"/>
  <c r="AW4" i="8" s="1"/>
  <c r="AW5" i="8" s="1"/>
  <c r="AW6" i="8" s="1"/>
  <c r="AW7" i="8" s="1"/>
  <c r="AW8" i="8" s="1"/>
  <c r="AW9" i="8" s="1"/>
  <c r="AW10" i="8" s="1"/>
  <c r="AW11" i="8" s="1"/>
  <c r="AW12" i="8" s="1"/>
  <c r="AW13" i="8" s="1"/>
  <c r="AW14" i="8" s="1"/>
  <c r="AW15" i="8" s="1"/>
  <c r="AW16" i="8" s="1"/>
  <c r="AW17" i="8" s="1"/>
  <c r="AW18" i="8" s="1"/>
  <c r="AW19" i="8" s="1"/>
  <c r="AW20" i="8" s="1"/>
  <c r="AW21" i="8" s="1"/>
  <c r="AW22" i="8" s="1"/>
  <c r="AW23" i="8" s="1"/>
  <c r="AW24" i="8" s="1"/>
  <c r="AW25" i="8" s="1"/>
  <c r="AW26" i="8" s="1"/>
  <c r="AW27" i="8" s="1"/>
  <c r="AW28" i="8" s="1"/>
  <c r="AW2" i="7"/>
  <c r="AW3" i="7" s="1"/>
  <c r="AW4" i="7" s="1"/>
  <c r="AW5" i="7" s="1"/>
  <c r="AW6" i="7" s="1"/>
  <c r="AW7" i="7" s="1"/>
  <c r="AW8" i="7" s="1"/>
  <c r="AW9" i="7" s="1"/>
  <c r="AW10" i="7" s="1"/>
  <c r="AW11" i="7" s="1"/>
  <c r="AW12" i="7" s="1"/>
  <c r="AW13" i="7" s="1"/>
  <c r="AW14" i="7" s="1"/>
  <c r="AW15" i="7" s="1"/>
  <c r="AW16" i="7" s="1"/>
  <c r="AW17" i="7" s="1"/>
  <c r="AW18" i="7" s="1"/>
  <c r="AW19" i="7" s="1"/>
  <c r="AW20" i="7" s="1"/>
  <c r="AW21" i="7" s="1"/>
  <c r="AW22" i="7" s="1"/>
  <c r="AW23" i="7" s="1"/>
  <c r="AW24" i="7" s="1"/>
  <c r="AW25" i="7" s="1"/>
  <c r="AW26" i="7" s="1"/>
  <c r="AW27" i="7" s="1"/>
  <c r="AW28" i="7" s="1"/>
  <c r="AK2" i="10"/>
  <c r="AL2" i="10" s="1"/>
  <c r="AM29" i="10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J19" i="15" l="1"/>
  <c r="J3" i="15"/>
  <c r="I3" i="15" s="1"/>
  <c r="J13" i="15"/>
  <c r="I13" i="15" s="1"/>
  <c r="J27" i="15"/>
  <c r="K27" i="15" s="1"/>
  <c r="J10" i="15"/>
  <c r="J20" i="15"/>
  <c r="E20" i="15" s="1"/>
  <c r="J6" i="15"/>
  <c r="J25" i="15"/>
  <c r="O25" i="15" s="1"/>
  <c r="P25" i="15" s="1"/>
  <c r="X25" i="15" s="1"/>
  <c r="J24" i="15"/>
  <c r="G24" i="15" s="1"/>
  <c r="J22" i="15"/>
  <c r="I22" i="15" s="1"/>
  <c r="I25" i="15"/>
  <c r="K25" i="15"/>
  <c r="J5" i="15"/>
  <c r="C5" i="15" s="1"/>
  <c r="J16" i="15"/>
  <c r="K16" i="15" s="1"/>
  <c r="J12" i="15"/>
  <c r="G12" i="15" s="1"/>
  <c r="J28" i="15"/>
  <c r="E28" i="15" s="1"/>
  <c r="J14" i="15"/>
  <c r="J17" i="15"/>
  <c r="G17" i="15" s="1"/>
  <c r="J23" i="15"/>
  <c r="E23" i="15" s="1"/>
  <c r="J26" i="15"/>
  <c r="O26" i="15" s="1"/>
  <c r="P26" i="15" s="1"/>
  <c r="X26" i="15" s="1"/>
  <c r="AW2" i="15"/>
  <c r="J15" i="15"/>
  <c r="I15" i="15" s="1"/>
  <c r="J18" i="15"/>
  <c r="G18" i="15" s="1"/>
  <c r="J4" i="15"/>
  <c r="G4" i="15" s="1"/>
  <c r="J11" i="15"/>
  <c r="G11" i="15" s="1"/>
  <c r="J9" i="15"/>
  <c r="C9" i="15" s="1"/>
  <c r="J8" i="15"/>
  <c r="C8" i="15" s="1"/>
  <c r="J7" i="15"/>
  <c r="I7" i="15" s="1"/>
  <c r="G3" i="15"/>
  <c r="K6" i="15"/>
  <c r="G7" i="15"/>
  <c r="E19" i="15"/>
  <c r="I19" i="15"/>
  <c r="C19" i="15"/>
  <c r="L19" i="15"/>
  <c r="K19" i="15"/>
  <c r="O17" i="15"/>
  <c r="P17" i="15" s="1"/>
  <c r="X17" i="15" s="1"/>
  <c r="K17" i="15"/>
  <c r="E17" i="15"/>
  <c r="AO29" i="15"/>
  <c r="AP2" i="15"/>
  <c r="E14" i="15"/>
  <c r="O14" i="15"/>
  <c r="P14" i="15" s="1"/>
  <c r="X14" i="15" s="1"/>
  <c r="L14" i="15"/>
  <c r="K14" i="15"/>
  <c r="C14" i="15"/>
  <c r="G19" i="15"/>
  <c r="O20" i="15"/>
  <c r="P20" i="15" s="1"/>
  <c r="X20" i="15" s="1"/>
  <c r="G10" i="15"/>
  <c r="K10" i="15"/>
  <c r="L10" i="15" s="1"/>
  <c r="I10" i="15"/>
  <c r="E10" i="15"/>
  <c r="C10" i="15"/>
  <c r="K4" i="15"/>
  <c r="L4" i="15" s="1"/>
  <c r="C4" i="15"/>
  <c r="C13" i="15"/>
  <c r="L13" i="15"/>
  <c r="K13" i="15"/>
  <c r="O19" i="15"/>
  <c r="P19" i="15" s="1"/>
  <c r="X19" i="15" s="1"/>
  <c r="J2" i="15"/>
  <c r="K3" i="15" s="1"/>
  <c r="L3" i="15" s="1"/>
  <c r="I17" i="15"/>
  <c r="I18" i="15"/>
  <c r="E18" i="15"/>
  <c r="I24" i="15"/>
  <c r="O24" i="15"/>
  <c r="P24" i="15" s="1"/>
  <c r="X24" i="15" s="1"/>
  <c r="L24" i="15"/>
  <c r="G20" i="15"/>
  <c r="L20" i="15"/>
  <c r="K20" i="15"/>
  <c r="I20" i="15"/>
  <c r="C20" i="15"/>
  <c r="O3" i="15"/>
  <c r="P3" i="15" s="1"/>
  <c r="E3" i="15"/>
  <c r="C3" i="15"/>
  <c r="O23" i="15"/>
  <c r="P23" i="15" s="1"/>
  <c r="X23" i="15" s="1"/>
  <c r="C23" i="15"/>
  <c r="G6" i="15"/>
  <c r="I6" i="15"/>
  <c r="C6" i="15"/>
  <c r="E6" i="15"/>
  <c r="L27" i="15"/>
  <c r="G27" i="15"/>
  <c r="AC3" i="15"/>
  <c r="AC4" i="15" s="1"/>
  <c r="AC5" i="15" s="1"/>
  <c r="AC6" i="15" s="1"/>
  <c r="AC7" i="15" s="1"/>
  <c r="AC8" i="15" s="1"/>
  <c r="AC9" i="15" s="1"/>
  <c r="AC10" i="15" s="1"/>
  <c r="AC11" i="15" s="1"/>
  <c r="AC12" i="15" s="1"/>
  <c r="AC13" i="15" s="1"/>
  <c r="AC14" i="15" s="1"/>
  <c r="AC15" i="15" s="1"/>
  <c r="AC16" i="15" s="1"/>
  <c r="AC17" i="15" s="1"/>
  <c r="AC18" i="15" s="1"/>
  <c r="AC19" i="15" s="1"/>
  <c r="AC20" i="15" s="1"/>
  <c r="AC21" i="15" s="1"/>
  <c r="AC22" i="15" s="1"/>
  <c r="AC23" i="15" s="1"/>
  <c r="AC24" i="15" s="1"/>
  <c r="AC25" i="15" s="1"/>
  <c r="AC26" i="15" s="1"/>
  <c r="AC27" i="15" s="1"/>
  <c r="AC28" i="15" s="1"/>
  <c r="AD2" i="15"/>
  <c r="M5" i="15"/>
  <c r="AW4" i="15"/>
  <c r="L6" i="15"/>
  <c r="AW3" i="15"/>
  <c r="J21" i="15"/>
  <c r="C25" i="15"/>
  <c r="AK3" i="10"/>
  <c r="AK4" i="10" s="1"/>
  <c r="AK5" i="10" s="1"/>
  <c r="AK6" i="10" s="1"/>
  <c r="AK7" i="10" s="1"/>
  <c r="AK8" i="10" s="1"/>
  <c r="AK9" i="10" s="1"/>
  <c r="AK10" i="10" s="1"/>
  <c r="AK11" i="10" s="1"/>
  <c r="AK12" i="10" s="1"/>
  <c r="AK13" i="10" s="1"/>
  <c r="AK14" i="10" s="1"/>
  <c r="AK15" i="10" s="1"/>
  <c r="AK16" i="10" s="1"/>
  <c r="AK17" i="10" s="1"/>
  <c r="AK18" i="10" s="1"/>
  <c r="AK19" i="10" s="1"/>
  <c r="AK20" i="10" s="1"/>
  <c r="AK21" i="10" s="1"/>
  <c r="AK22" i="10" s="1"/>
  <c r="AK23" i="10" s="1"/>
  <c r="AK24" i="10" s="1"/>
  <c r="AK25" i="10" s="1"/>
  <c r="AK26" i="10" s="1"/>
  <c r="AK27" i="10" s="1"/>
  <c r="AK28" i="10" s="1"/>
  <c r="K28" i="15" l="1"/>
  <c r="I28" i="15"/>
  <c r="C24" i="15"/>
  <c r="L28" i="15"/>
  <c r="K24" i="15"/>
  <c r="G28" i="15"/>
  <c r="L25" i="15"/>
  <c r="K18" i="15"/>
  <c r="O28" i="15"/>
  <c r="P28" i="15" s="1"/>
  <c r="X28" i="15" s="1"/>
  <c r="E25" i="15"/>
  <c r="O18" i="15"/>
  <c r="P18" i="15" s="1"/>
  <c r="G25" i="15"/>
  <c r="C18" i="15"/>
  <c r="K26" i="15"/>
  <c r="L26" i="15"/>
  <c r="O27" i="15"/>
  <c r="P27" i="15" s="1"/>
  <c r="O13" i="15"/>
  <c r="P13" i="15" s="1"/>
  <c r="X13" i="15" s="1"/>
  <c r="I26" i="15"/>
  <c r="C27" i="15"/>
  <c r="E27" i="15"/>
  <c r="I27" i="15"/>
  <c r="E13" i="15"/>
  <c r="G13" i="15"/>
  <c r="G26" i="15"/>
  <c r="G5" i="15"/>
  <c r="G22" i="15"/>
  <c r="I8" i="15"/>
  <c r="E22" i="15"/>
  <c r="E7" i="15"/>
  <c r="G8" i="15"/>
  <c r="K22" i="15"/>
  <c r="C22" i="15"/>
  <c r="K7" i="15"/>
  <c r="L7" i="15" s="1"/>
  <c r="E11" i="15"/>
  <c r="L22" i="15"/>
  <c r="E24" i="15"/>
  <c r="O22" i="15"/>
  <c r="P22" i="15" s="1"/>
  <c r="X22" i="15" s="1"/>
  <c r="C28" i="15"/>
  <c r="C7" i="15"/>
  <c r="K8" i="15"/>
  <c r="L8" i="15" s="1"/>
  <c r="E8" i="15"/>
  <c r="E9" i="15"/>
  <c r="C16" i="15"/>
  <c r="K12" i="15"/>
  <c r="L12" i="15" s="1"/>
  <c r="K5" i="15"/>
  <c r="L5" i="15" s="1"/>
  <c r="E16" i="15"/>
  <c r="G15" i="15"/>
  <c r="E4" i="15"/>
  <c r="C12" i="15"/>
  <c r="I16" i="15"/>
  <c r="O16" i="15"/>
  <c r="P16" i="15" s="1"/>
  <c r="L15" i="15"/>
  <c r="I11" i="15"/>
  <c r="C15" i="15"/>
  <c r="I23" i="15"/>
  <c r="E15" i="15"/>
  <c r="L17" i="15"/>
  <c r="C26" i="15"/>
  <c r="I14" i="15"/>
  <c r="G14" i="15"/>
  <c r="I12" i="15"/>
  <c r="G9" i="15"/>
  <c r="L16" i="15"/>
  <c r="O15" i="15"/>
  <c r="P15" i="15" s="1"/>
  <c r="G23" i="15"/>
  <c r="E12" i="15"/>
  <c r="C11" i="15"/>
  <c r="K23" i="15"/>
  <c r="K11" i="15"/>
  <c r="L11" i="15" s="1"/>
  <c r="K15" i="15"/>
  <c r="C17" i="15"/>
  <c r="E26" i="15"/>
  <c r="I4" i="15"/>
  <c r="G16" i="15"/>
  <c r="L23" i="15"/>
  <c r="E5" i="15"/>
  <c r="I5" i="15"/>
  <c r="L18" i="15"/>
  <c r="K9" i="15"/>
  <c r="L9" i="15" s="1"/>
  <c r="I9" i="15"/>
  <c r="Q25" i="15"/>
  <c r="Q23" i="15"/>
  <c r="Q17" i="15"/>
  <c r="Q20" i="15"/>
  <c r="Q26" i="15"/>
  <c r="Q14" i="15"/>
  <c r="AD3" i="15"/>
  <c r="AD4" i="15" s="1"/>
  <c r="AD5" i="15" s="1"/>
  <c r="AD6" i="15" s="1"/>
  <c r="AD7" i="15" s="1"/>
  <c r="AD8" i="15" s="1"/>
  <c r="AD9" i="15" s="1"/>
  <c r="AD10" i="15" s="1"/>
  <c r="AD11" i="15" s="1"/>
  <c r="AD12" i="15" s="1"/>
  <c r="AD13" i="15" s="1"/>
  <c r="AD14" i="15" s="1"/>
  <c r="AD15" i="15" s="1"/>
  <c r="AD16" i="15" s="1"/>
  <c r="AD17" i="15" s="1"/>
  <c r="AD18" i="15" s="1"/>
  <c r="AD19" i="15" s="1"/>
  <c r="AD20" i="15" s="1"/>
  <c r="AD21" i="15" s="1"/>
  <c r="AD22" i="15" s="1"/>
  <c r="AD23" i="15" s="1"/>
  <c r="AD24" i="15" s="1"/>
  <c r="AD25" i="15" s="1"/>
  <c r="AD26" i="15" s="1"/>
  <c r="AD27" i="15" s="1"/>
  <c r="AD28" i="15" s="1"/>
  <c r="AX2" i="15"/>
  <c r="AP3" i="15"/>
  <c r="M6" i="15"/>
  <c r="AW5" i="15"/>
  <c r="Q13" i="15"/>
  <c r="Q28" i="15"/>
  <c r="Q22" i="15"/>
  <c r="K21" i="15"/>
  <c r="I21" i="15"/>
  <c r="L21" i="15"/>
  <c r="E21" i="15"/>
  <c r="C21" i="15"/>
  <c r="O21" i="15"/>
  <c r="P21" i="15" s="1"/>
  <c r="X21" i="15" s="1"/>
  <c r="G21" i="15"/>
  <c r="Q24" i="15"/>
  <c r="J33" i="15"/>
  <c r="P2" i="15"/>
  <c r="I2" i="15"/>
  <c r="E2" i="15"/>
  <c r="C2" i="15"/>
  <c r="G2" i="15"/>
  <c r="Z2" i="15"/>
  <c r="Q19" i="15"/>
  <c r="AC29" i="15"/>
  <c r="AK29" i="10"/>
  <c r="AL3" i="10"/>
  <c r="AL4" i="10" s="1"/>
  <c r="AL5" i="10" s="1"/>
  <c r="AL6" i="10" s="1"/>
  <c r="AL7" i="10" s="1"/>
  <c r="AL8" i="10" s="1"/>
  <c r="AL9" i="10" s="1"/>
  <c r="AL10" i="10" s="1"/>
  <c r="AL11" i="10" s="1"/>
  <c r="AL12" i="10" s="1"/>
  <c r="AL13" i="10" s="1"/>
  <c r="AL14" i="10" s="1"/>
  <c r="AL15" i="10" s="1"/>
  <c r="AL16" i="10" s="1"/>
  <c r="AL17" i="10" s="1"/>
  <c r="AL18" i="10" s="1"/>
  <c r="AL19" i="10" s="1"/>
  <c r="AL20" i="10" s="1"/>
  <c r="AL21" i="10" s="1"/>
  <c r="AL22" i="10" s="1"/>
  <c r="AL23" i="10" s="1"/>
  <c r="AL24" i="10" s="1"/>
  <c r="AL25" i="10" s="1"/>
  <c r="AL26" i="10" s="1"/>
  <c r="AL27" i="10" s="1"/>
  <c r="AL28" i="10" s="1"/>
  <c r="Q15" i="15" l="1"/>
  <c r="X15" i="15"/>
  <c r="Q18" i="15"/>
  <c r="X18" i="15"/>
  <c r="Q27" i="15"/>
  <c r="X27" i="15"/>
  <c r="Q16" i="15"/>
  <c r="X16" i="15"/>
  <c r="Q21" i="15"/>
  <c r="U24" i="15"/>
  <c r="S18" i="15"/>
  <c r="U9" i="15"/>
  <c r="U5" i="15"/>
  <c r="U19" i="15"/>
  <c r="S13" i="15"/>
  <c r="U2" i="15"/>
  <c r="S24" i="15"/>
  <c r="U23" i="15"/>
  <c r="S20" i="15"/>
  <c r="U16" i="15"/>
  <c r="S10" i="15"/>
  <c r="S8" i="15"/>
  <c r="U25" i="15"/>
  <c r="U18" i="15"/>
  <c r="S14" i="15"/>
  <c r="U3" i="15"/>
  <c r="S23" i="15"/>
  <c r="S25" i="15"/>
  <c r="U28" i="15"/>
  <c r="U22" i="15"/>
  <c r="S2" i="15"/>
  <c r="U17" i="15"/>
  <c r="S15" i="15"/>
  <c r="S28" i="15"/>
  <c r="S22" i="15"/>
  <c r="S7" i="15"/>
  <c r="S21" i="15"/>
  <c r="U15" i="15"/>
  <c r="S9" i="15"/>
  <c r="U27" i="15"/>
  <c r="U21" i="15"/>
  <c r="S19" i="15"/>
  <c r="U11" i="15"/>
  <c r="S27" i="15"/>
  <c r="S17" i="15"/>
  <c r="S26" i="15"/>
  <c r="U20" i="15"/>
  <c r="U14" i="15"/>
  <c r="S4" i="15"/>
  <c r="S16" i="15"/>
  <c r="U4" i="15"/>
  <c r="U13" i="15"/>
  <c r="U26" i="15"/>
  <c r="U12" i="15"/>
  <c r="S6" i="15"/>
  <c r="S12" i="15"/>
  <c r="S11" i="15"/>
  <c r="U10" i="15"/>
  <c r="U8" i="15"/>
  <c r="U6" i="15"/>
  <c r="S3" i="15"/>
  <c r="S5" i="15"/>
  <c r="U7" i="15"/>
  <c r="Q3" i="15"/>
  <c r="AP4" i="15"/>
  <c r="AX3" i="15"/>
  <c r="AA2" i="15"/>
  <c r="AL2" i="15"/>
  <c r="BB2" i="15"/>
  <c r="BA2" i="15"/>
  <c r="AY2" i="15" s="1"/>
  <c r="M7" i="15"/>
  <c r="AW6" i="15"/>
  <c r="Y3" i="15" l="1"/>
  <c r="AP5" i="15"/>
  <c r="AX4" i="15"/>
  <c r="BA3" i="15"/>
  <c r="AY3" i="15" s="1"/>
  <c r="BB3" i="15"/>
  <c r="AU2" i="15"/>
  <c r="AR2" i="15"/>
  <c r="AM2" i="15"/>
  <c r="O4" i="15"/>
  <c r="P4" i="15" s="1"/>
  <c r="AW7" i="15"/>
  <c r="M8" i="15"/>
  <c r="AV2" i="15" l="1"/>
  <c r="AX5" i="15"/>
  <c r="AP6" i="15"/>
  <c r="Z3" i="15"/>
  <c r="AW8" i="15"/>
  <c r="M9" i="15"/>
  <c r="AS2" i="15"/>
  <c r="BA4" i="15"/>
  <c r="AY4" i="15" s="1"/>
  <c r="BB4" i="15"/>
  <c r="Q4" i="15"/>
  <c r="Y4" i="15" l="1"/>
  <c r="O5" i="15"/>
  <c r="P5" i="15" s="1"/>
  <c r="X5" i="15" s="1"/>
  <c r="AL3" i="15"/>
  <c r="AA3" i="15"/>
  <c r="BA5" i="15"/>
  <c r="AY5" i="15" s="1"/>
  <c r="BB5" i="15"/>
  <c r="M10" i="15"/>
  <c r="AW9" i="15"/>
  <c r="AP7" i="15"/>
  <c r="AX6" i="15"/>
  <c r="AU3" i="15" l="1"/>
  <c r="AR3" i="15"/>
  <c r="AM3" i="15"/>
  <c r="BB6" i="15"/>
  <c r="BA6" i="15"/>
  <c r="AY6" i="15" s="1"/>
  <c r="M11" i="15"/>
  <c r="AW10" i="15"/>
  <c r="Q5" i="15"/>
  <c r="AP8" i="15"/>
  <c r="AX7" i="15"/>
  <c r="Z4" i="15"/>
  <c r="AA4" i="15" s="1"/>
  <c r="BA7" i="15" l="1"/>
  <c r="AY7" i="15" s="1"/>
  <c r="BB7" i="15"/>
  <c r="Y5" i="15"/>
  <c r="O6" i="15"/>
  <c r="P6" i="15" s="1"/>
  <c r="X6" i="15" s="1"/>
  <c r="AW11" i="15"/>
  <c r="M12" i="15"/>
  <c r="AV3" i="15"/>
  <c r="AL4" i="15"/>
  <c r="AM4" i="15" s="1"/>
  <c r="AP9" i="15"/>
  <c r="AX8" i="15"/>
  <c r="AS3" i="15"/>
  <c r="AP10" i="15" l="1"/>
  <c r="AX9" i="15"/>
  <c r="BB8" i="15"/>
  <c r="BA8" i="15"/>
  <c r="AY8" i="15" s="1"/>
  <c r="Q6" i="15"/>
  <c r="Z5" i="15"/>
  <c r="AR4" i="15"/>
  <c r="AU4" i="15"/>
  <c r="AW12" i="15"/>
  <c r="M13" i="15"/>
  <c r="M14" i="15" l="1"/>
  <c r="AW13" i="15"/>
  <c r="Y13" i="15"/>
  <c r="Z13" i="15" s="1"/>
  <c r="AL13" i="15" s="1"/>
  <c r="Y6" i="15"/>
  <c r="Z6" i="15" s="1"/>
  <c r="AL6" i="15" s="1"/>
  <c r="O7" i="15"/>
  <c r="P7" i="15" s="1"/>
  <c r="X7" i="15" s="1"/>
  <c r="BB9" i="15"/>
  <c r="BA9" i="15"/>
  <c r="AY9" i="15" s="1"/>
  <c r="AL5" i="15"/>
  <c r="AA5" i="15"/>
  <c r="AP11" i="15"/>
  <c r="AX10" i="15"/>
  <c r="AV4" i="15"/>
  <c r="AS4" i="15"/>
  <c r="AA6" i="15" l="1"/>
  <c r="Q7" i="15"/>
  <c r="BB10" i="15"/>
  <c r="BA10" i="15"/>
  <c r="AY10" i="15" s="1"/>
  <c r="AP12" i="15"/>
  <c r="AX11" i="15"/>
  <c r="AU6" i="15"/>
  <c r="AR6" i="15"/>
  <c r="M15" i="15"/>
  <c r="AW14" i="15"/>
  <c r="Y14" i="15"/>
  <c r="Z14" i="15" s="1"/>
  <c r="AL14" i="15" s="1"/>
  <c r="AR5" i="15"/>
  <c r="AU5" i="15"/>
  <c r="AM5" i="15"/>
  <c r="AM6" i="15" s="1"/>
  <c r="AU13" i="15"/>
  <c r="AR13" i="15"/>
  <c r="AU14" i="15" l="1"/>
  <c r="AR14" i="15"/>
  <c r="BA11" i="15"/>
  <c r="AY11" i="15" s="1"/>
  <c r="BB11" i="15"/>
  <c r="M16" i="15"/>
  <c r="AW15" i="15"/>
  <c r="Y15" i="15"/>
  <c r="Z15" i="15" s="1"/>
  <c r="AL15" i="15" s="1"/>
  <c r="AP13" i="15"/>
  <c r="AX12" i="15"/>
  <c r="Y7" i="15"/>
  <c r="Z7" i="15" s="1"/>
  <c r="O8" i="15"/>
  <c r="P8" i="15" s="1"/>
  <c r="X8" i="15" s="1"/>
  <c r="AV5" i="15"/>
  <c r="AV6" i="15" s="1"/>
  <c r="AS5" i="15"/>
  <c r="AS6" i="15" s="1"/>
  <c r="AL7" i="15" l="1"/>
  <c r="AA7" i="15"/>
  <c r="AU15" i="15"/>
  <c r="AR15" i="15"/>
  <c r="M17" i="15"/>
  <c r="AW16" i="15"/>
  <c r="Y16" i="15"/>
  <c r="Z16" i="15" s="1"/>
  <c r="AL16" i="15" s="1"/>
  <c r="Q8" i="15"/>
  <c r="BB12" i="15"/>
  <c r="BA12" i="15"/>
  <c r="AY12" i="15" s="1"/>
  <c r="AX13" i="15"/>
  <c r="AP14" i="15"/>
  <c r="AX14" i="15" l="1"/>
  <c r="AP15" i="15"/>
  <c r="Y8" i="15"/>
  <c r="Z8" i="15" s="1"/>
  <c r="AL8" i="15" s="1"/>
  <c r="O9" i="15"/>
  <c r="P9" i="15" s="1"/>
  <c r="X9" i="15" s="1"/>
  <c r="M18" i="15"/>
  <c r="AW17" i="15"/>
  <c r="Y17" i="15"/>
  <c r="Z17" i="15" s="1"/>
  <c r="AL17" i="15" s="1"/>
  <c r="BB13" i="15"/>
  <c r="BA13" i="15"/>
  <c r="AY13" i="15" s="1"/>
  <c r="AU16" i="15"/>
  <c r="AR16" i="15"/>
  <c r="AR7" i="15"/>
  <c r="AS7" i="15" s="1"/>
  <c r="AU7" i="15"/>
  <c r="AV7" i="15" s="1"/>
  <c r="AM7" i="15"/>
  <c r="AA8" i="15" l="1"/>
  <c r="M19" i="15"/>
  <c r="AW18" i="15"/>
  <c r="Y18" i="15"/>
  <c r="Z18" i="15" s="1"/>
  <c r="AL18" i="15" s="1"/>
  <c r="AX15" i="15"/>
  <c r="AP16" i="15"/>
  <c r="AU17" i="15"/>
  <c r="AR17" i="15"/>
  <c r="Q9" i="15"/>
  <c r="BA14" i="15"/>
  <c r="AY14" i="15" s="1"/>
  <c r="BB14" i="15"/>
  <c r="AR8" i="15"/>
  <c r="AS8" i="15" s="1"/>
  <c r="AU8" i="15"/>
  <c r="AV8" i="15" s="1"/>
  <c r="AM8" i="15"/>
  <c r="Y9" i="15" l="1"/>
  <c r="Z9" i="15" s="1"/>
  <c r="O10" i="15"/>
  <c r="P10" i="15" s="1"/>
  <c r="X10" i="15" s="1"/>
  <c r="BB15" i="15"/>
  <c r="BA15" i="15"/>
  <c r="AY15" i="15" s="1"/>
  <c r="AX16" i="15"/>
  <c r="AP17" i="15"/>
  <c r="AU18" i="15"/>
  <c r="AR18" i="15"/>
  <c r="M20" i="15"/>
  <c r="AW19" i="15"/>
  <c r="Y19" i="15"/>
  <c r="Z19" i="15" s="1"/>
  <c r="AL19" i="15" s="1"/>
  <c r="AR19" i="15" l="1"/>
  <c r="AU19" i="15"/>
  <c r="M21" i="15"/>
  <c r="AW20" i="15"/>
  <c r="Y20" i="15"/>
  <c r="Z20" i="15" s="1"/>
  <c r="AL20" i="15" s="1"/>
  <c r="Q10" i="15"/>
  <c r="AX17" i="15"/>
  <c r="AP18" i="15"/>
  <c r="BA16" i="15"/>
  <c r="AY16" i="15" s="1"/>
  <c r="BB16" i="15"/>
  <c r="AL9" i="15"/>
  <c r="AA9" i="15"/>
  <c r="AR9" i="15" l="1"/>
  <c r="AS9" i="15" s="1"/>
  <c r="AU9" i="15"/>
  <c r="AV9" i="15" s="1"/>
  <c r="AM9" i="15"/>
  <c r="AR20" i="15"/>
  <c r="AU20" i="15"/>
  <c r="AP19" i="15"/>
  <c r="AX18" i="15"/>
  <c r="Y10" i="15"/>
  <c r="Z10" i="15" s="1"/>
  <c r="AL10" i="15" s="1"/>
  <c r="O11" i="15"/>
  <c r="P11" i="15" s="1"/>
  <c r="X11" i="15" s="1"/>
  <c r="M22" i="15"/>
  <c r="AW21" i="15"/>
  <c r="Y21" i="15"/>
  <c r="Z21" i="15" s="1"/>
  <c r="AL21" i="15" s="1"/>
  <c r="BA17" i="15"/>
  <c r="AY17" i="15" s="1"/>
  <c r="BB17" i="15"/>
  <c r="AR10" i="15" l="1"/>
  <c r="AS10" i="15" s="1"/>
  <c r="AU10" i="15"/>
  <c r="AV10" i="15" s="1"/>
  <c r="AM10" i="15"/>
  <c r="Q11" i="15"/>
  <c r="AX19" i="15"/>
  <c r="AP20" i="15"/>
  <c r="AU21" i="15"/>
  <c r="AR21" i="15"/>
  <c r="AW22" i="15"/>
  <c r="M23" i="15"/>
  <c r="Y22" i="15"/>
  <c r="Z22" i="15" s="1"/>
  <c r="AL22" i="15" s="1"/>
  <c r="BB18" i="15"/>
  <c r="BA18" i="15"/>
  <c r="AY18" i="15" s="1"/>
  <c r="AA10" i="15"/>
  <c r="M24" i="15" l="1"/>
  <c r="AW23" i="15"/>
  <c r="Y23" i="15"/>
  <c r="Z23" i="15" s="1"/>
  <c r="AL23" i="15" s="1"/>
  <c r="BB19" i="15"/>
  <c r="BA19" i="15"/>
  <c r="AY19" i="15" s="1"/>
  <c r="AX20" i="15"/>
  <c r="AP21" i="15"/>
  <c r="AU22" i="15"/>
  <c r="AR22" i="15"/>
  <c r="Y11" i="15"/>
  <c r="Z11" i="15" s="1"/>
  <c r="AL11" i="15" s="1"/>
  <c r="AM11" i="15" s="1"/>
  <c r="O12" i="15"/>
  <c r="P12" i="15" s="1"/>
  <c r="X12" i="15" s="1"/>
  <c r="AA11" i="15" l="1"/>
  <c r="AU11" i="15"/>
  <c r="AV11" i="15" s="1"/>
  <c r="AR11" i="15"/>
  <c r="AS11" i="15" s="1"/>
  <c r="AX21" i="15"/>
  <c r="AP22" i="15"/>
  <c r="AU23" i="15"/>
  <c r="AR23" i="15"/>
  <c r="Q12" i="15"/>
  <c r="Y12" i="15"/>
  <c r="Z12" i="15" s="1"/>
  <c r="AL12" i="15" s="1"/>
  <c r="BB20" i="15"/>
  <c r="BA20" i="15"/>
  <c r="AY20" i="15" s="1"/>
  <c r="M25" i="15"/>
  <c r="AW24" i="15"/>
  <c r="Y24" i="15"/>
  <c r="Z24" i="15" s="1"/>
  <c r="AL24" i="15" s="1"/>
  <c r="AR24" i="15" l="1"/>
  <c r="AU24" i="15"/>
  <c r="M26" i="15"/>
  <c r="AW25" i="15"/>
  <c r="Y25" i="15"/>
  <c r="Z25" i="15" s="1"/>
  <c r="AL25" i="15" s="1"/>
  <c r="BB21" i="15"/>
  <c r="BA21" i="15"/>
  <c r="AY21" i="15" s="1"/>
  <c r="AR12" i="15"/>
  <c r="AS12" i="15" s="1"/>
  <c r="AS13" i="15" s="1"/>
  <c r="AS14" i="15" s="1"/>
  <c r="AS15" i="15" s="1"/>
  <c r="AS16" i="15" s="1"/>
  <c r="AS17" i="15" s="1"/>
  <c r="AS18" i="15" s="1"/>
  <c r="AS19" i="15" s="1"/>
  <c r="AS20" i="15" s="1"/>
  <c r="AS21" i="15" s="1"/>
  <c r="AS22" i="15" s="1"/>
  <c r="AS23" i="15" s="1"/>
  <c r="AS24" i="15" s="1"/>
  <c r="AU12" i="15"/>
  <c r="AV12" i="15" s="1"/>
  <c r="AV13" i="15" s="1"/>
  <c r="AV14" i="15" s="1"/>
  <c r="AV15" i="15" s="1"/>
  <c r="AV16" i="15" s="1"/>
  <c r="AV17" i="15" s="1"/>
  <c r="AV18" i="15" s="1"/>
  <c r="AV19" i="15" s="1"/>
  <c r="AV20" i="15" s="1"/>
  <c r="AV21" i="15" s="1"/>
  <c r="AV22" i="15" s="1"/>
  <c r="AV23" i="15" s="1"/>
  <c r="AV24" i="15" s="1"/>
  <c r="AX22" i="15"/>
  <c r="AP23" i="15"/>
  <c r="AA12" i="15"/>
  <c r="AA13" i="15" s="1"/>
  <c r="AA14" i="15" s="1"/>
  <c r="AA15" i="15" s="1"/>
  <c r="AA16" i="15" s="1"/>
  <c r="AA17" i="15" s="1"/>
  <c r="AA18" i="15" s="1"/>
  <c r="AA19" i="15" s="1"/>
  <c r="AA20" i="15" s="1"/>
  <c r="AA21" i="15" s="1"/>
  <c r="AA22" i="15" s="1"/>
  <c r="AA23" i="15" s="1"/>
  <c r="AA24" i="15" s="1"/>
  <c r="AM12" i="15"/>
  <c r="AM13" i="15" s="1"/>
  <c r="AM14" i="15" s="1"/>
  <c r="AM15" i="15" s="1"/>
  <c r="AM16" i="15" s="1"/>
  <c r="AM17" i="15" s="1"/>
  <c r="AM18" i="15" s="1"/>
  <c r="AM19" i="15" s="1"/>
  <c r="AM20" i="15" s="1"/>
  <c r="AM21" i="15" s="1"/>
  <c r="AM22" i="15" s="1"/>
  <c r="AM23" i="15" s="1"/>
  <c r="AM24" i="15" s="1"/>
  <c r="AM25" i="15" l="1"/>
  <c r="AA25" i="15"/>
  <c r="AP24" i="15"/>
  <c r="AX23" i="15"/>
  <c r="AU25" i="15"/>
  <c r="AV25" i="15" s="1"/>
  <c r="AR25" i="15"/>
  <c r="AS25" i="15" s="1"/>
  <c r="BB22" i="15"/>
  <c r="BA22" i="15"/>
  <c r="AY22" i="15" s="1"/>
  <c r="M27" i="15"/>
  <c r="AW26" i="15"/>
  <c r="Y26" i="15"/>
  <c r="Z26" i="15" s="1"/>
  <c r="AL26" i="15" s="1"/>
  <c r="M28" i="15" l="1"/>
  <c r="AW27" i="15"/>
  <c r="Y27" i="15"/>
  <c r="Z27" i="15" s="1"/>
  <c r="AL27" i="15" s="1"/>
  <c r="BB23" i="15"/>
  <c r="BA23" i="15"/>
  <c r="AY23" i="15" s="1"/>
  <c r="AU26" i="15"/>
  <c r="AV26" i="15" s="1"/>
  <c r="AR26" i="15"/>
  <c r="AS26" i="15" s="1"/>
  <c r="AA26" i="15"/>
  <c r="AA27" i="15" s="1"/>
  <c r="AP25" i="15"/>
  <c r="AX24" i="15"/>
  <c r="AM26" i="15"/>
  <c r="AM27" i="15" s="1"/>
  <c r="AP26" i="15" l="1"/>
  <c r="AX25" i="15"/>
  <c r="BB24" i="15"/>
  <c r="BA24" i="15"/>
  <c r="AY24" i="15" s="1"/>
  <c r="AU27" i="15"/>
  <c r="AV27" i="15" s="1"/>
  <c r="AR27" i="15"/>
  <c r="AS27" i="15" s="1"/>
  <c r="AW28" i="15"/>
  <c r="Y28" i="15"/>
  <c r="Z28" i="15" l="1"/>
  <c r="Y29" i="15"/>
  <c r="BB25" i="15"/>
  <c r="BA25" i="15"/>
  <c r="AY25" i="15" s="1"/>
  <c r="AX26" i="15"/>
  <c r="AP27" i="15"/>
  <c r="AX27" i="15" l="1"/>
  <c r="AP28" i="15"/>
  <c r="AX28" i="15" s="1"/>
  <c r="AL28" i="15"/>
  <c r="Z29" i="15"/>
  <c r="AA28" i="15"/>
  <c r="BB26" i="15"/>
  <c r="BA26" i="15"/>
  <c r="AY26" i="15" s="1"/>
  <c r="AU28" i="15" l="1"/>
  <c r="AR28" i="15"/>
  <c r="AL29" i="15"/>
  <c r="AM28" i="15"/>
  <c r="BB28" i="15"/>
  <c r="BA28" i="15"/>
  <c r="BB27" i="15"/>
  <c r="BA27" i="15"/>
  <c r="AY27" i="15" s="1"/>
  <c r="AY28" i="15" s="1"/>
  <c r="AR29" i="15" l="1"/>
  <c r="AS28" i="15"/>
  <c r="AU29" i="15"/>
  <c r="AV28" i="15"/>
  <c r="AK2" i="11" l="1"/>
  <c r="AK3" i="11" s="1"/>
  <c r="AK4" i="11" s="1"/>
  <c r="AK5" i="11" s="1"/>
  <c r="AK6" i="11" s="1"/>
  <c r="AK7" i="11" s="1"/>
  <c r="AK8" i="11" s="1"/>
  <c r="AK9" i="11" s="1"/>
  <c r="AK10" i="11" s="1"/>
  <c r="AK11" i="11" s="1"/>
  <c r="AK12" i="11" s="1"/>
  <c r="AK13" i="11" s="1"/>
  <c r="AK14" i="11" s="1"/>
  <c r="AK15" i="11" s="1"/>
  <c r="AK16" i="11" s="1"/>
  <c r="AK17" i="11" s="1"/>
  <c r="AK18" i="11" s="1"/>
  <c r="AK19" i="11" s="1"/>
  <c r="AK20" i="11" s="1"/>
  <c r="AK21" i="11" s="1"/>
  <c r="AK22" i="11" s="1"/>
  <c r="AK23" i="11" s="1"/>
  <c r="AK24" i="11" s="1"/>
  <c r="AK25" i="11" s="1"/>
  <c r="AK26" i="11" s="1"/>
  <c r="AK27" i="11" s="1"/>
  <c r="AK28" i="11" s="1"/>
  <c r="AK2" i="9"/>
  <c r="AL2" i="9" s="1"/>
  <c r="AK2" i="8"/>
  <c r="AK3" i="8" s="1"/>
  <c r="AK4" i="8" s="1"/>
  <c r="AK5" i="8" s="1"/>
  <c r="AK6" i="8" s="1"/>
  <c r="AK7" i="8" s="1"/>
  <c r="AK8" i="8" s="1"/>
  <c r="AK9" i="8" s="1"/>
  <c r="AK10" i="8" s="1"/>
  <c r="AK11" i="8" s="1"/>
  <c r="AK12" i="8" s="1"/>
  <c r="AK13" i="8" s="1"/>
  <c r="AK14" i="8" s="1"/>
  <c r="AK15" i="8" s="1"/>
  <c r="AK16" i="8" s="1"/>
  <c r="AK17" i="8" s="1"/>
  <c r="AK18" i="8" s="1"/>
  <c r="AK19" i="8" s="1"/>
  <c r="AK20" i="8" s="1"/>
  <c r="AK21" i="8" s="1"/>
  <c r="AK22" i="8" s="1"/>
  <c r="AK23" i="8" s="1"/>
  <c r="AK24" i="8" s="1"/>
  <c r="AK25" i="8" s="1"/>
  <c r="AK26" i="8" s="1"/>
  <c r="AK27" i="8" s="1"/>
  <c r="AK28" i="8" s="1"/>
  <c r="AK2" i="5"/>
  <c r="AK2" i="7"/>
  <c r="AL2" i="7" s="1"/>
  <c r="AQ29" i="11"/>
  <c r="AO29" i="11"/>
  <c r="AM29" i="11"/>
  <c r="V4" i="11"/>
  <c r="V5" i="11" s="1"/>
  <c r="V6" i="11" s="1"/>
  <c r="V7" i="11" s="1"/>
  <c r="V8" i="11" s="1"/>
  <c r="V9" i="11" s="1"/>
  <c r="V10" i="11" s="1"/>
  <c r="V11" i="11" s="1"/>
  <c r="V12" i="11" s="1"/>
  <c r="V13" i="11" s="1"/>
  <c r="V14" i="11" s="1"/>
  <c r="V15" i="11" s="1"/>
  <c r="V16" i="11" s="1"/>
  <c r="V17" i="11" s="1"/>
  <c r="V18" i="11" s="1"/>
  <c r="V19" i="11" s="1"/>
  <c r="V20" i="11" s="1"/>
  <c r="V21" i="11" s="1"/>
  <c r="V22" i="11" s="1"/>
  <c r="V23" i="11" s="1"/>
  <c r="V24" i="11" s="1"/>
  <c r="V25" i="11" s="1"/>
  <c r="V26" i="11" s="1"/>
  <c r="V27" i="11" s="1"/>
  <c r="V28" i="11" s="1"/>
  <c r="T4" i="11"/>
  <c r="T5" i="11" s="1"/>
  <c r="T6" i="11" s="1"/>
  <c r="T7" i="11" s="1"/>
  <c r="T8" i="11" s="1"/>
  <c r="T9" i="11" s="1"/>
  <c r="T10" i="11" s="1"/>
  <c r="T11" i="11" s="1"/>
  <c r="T12" i="11" s="1"/>
  <c r="T13" i="11" s="1"/>
  <c r="T14" i="11" s="1"/>
  <c r="T15" i="11" s="1"/>
  <c r="T16" i="11" s="1"/>
  <c r="T17" i="11" s="1"/>
  <c r="T18" i="11" s="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A28" i="11"/>
  <c r="AX3" i="11"/>
  <c r="AX4" i="11" s="1"/>
  <c r="AX5" i="11" s="1"/>
  <c r="AX6" i="11" s="1"/>
  <c r="AX7" i="11" s="1"/>
  <c r="AX8" i="11" s="1"/>
  <c r="AX9" i="11" s="1"/>
  <c r="AX10" i="11" s="1"/>
  <c r="AX11" i="11" s="1"/>
  <c r="AX12" i="11" s="1"/>
  <c r="AX13" i="11" s="1"/>
  <c r="AX14" i="11" s="1"/>
  <c r="AX15" i="11" s="1"/>
  <c r="AX16" i="11" s="1"/>
  <c r="AX17" i="11" s="1"/>
  <c r="AX18" i="11" s="1"/>
  <c r="AX19" i="11" s="1"/>
  <c r="AX20" i="11" s="1"/>
  <c r="AX21" i="11" s="1"/>
  <c r="AX22" i="11" s="1"/>
  <c r="AX23" i="11" s="1"/>
  <c r="AX24" i="11" s="1"/>
  <c r="AX25" i="11" s="1"/>
  <c r="AX26" i="11" s="1"/>
  <c r="AX27" i="11" s="1"/>
  <c r="AX28" i="11" s="1"/>
  <c r="AU3" i="11"/>
  <c r="AU4" i="11" s="1"/>
  <c r="AU5" i="11" s="1"/>
  <c r="AU6" i="11" s="1"/>
  <c r="AU7" i="11" s="1"/>
  <c r="AU8" i="11" s="1"/>
  <c r="AU9" i="11" s="1"/>
  <c r="AU10" i="11" s="1"/>
  <c r="AU11" i="11" s="1"/>
  <c r="AU12" i="11" s="1"/>
  <c r="AU13" i="11" s="1"/>
  <c r="AU14" i="11" s="1"/>
  <c r="AU15" i="11" s="1"/>
  <c r="AU16" i="11" s="1"/>
  <c r="AU17" i="11" s="1"/>
  <c r="AU18" i="11" s="1"/>
  <c r="AU19" i="11" s="1"/>
  <c r="AU20" i="11" s="1"/>
  <c r="AU21" i="11" s="1"/>
  <c r="AU22" i="11" s="1"/>
  <c r="AU23" i="11" s="1"/>
  <c r="AU24" i="11" s="1"/>
  <c r="AU25" i="11" s="1"/>
  <c r="AU26" i="11" s="1"/>
  <c r="AU27" i="11" s="1"/>
  <c r="AU28" i="11" s="1"/>
  <c r="W3" i="11"/>
  <c r="W4" i="11" s="1"/>
  <c r="W5" i="11" s="1"/>
  <c r="W6" i="11" s="1"/>
  <c r="W7" i="11" s="1"/>
  <c r="W8" i="11" s="1"/>
  <c r="W9" i="11" s="1"/>
  <c r="W10" i="11" s="1"/>
  <c r="W11" i="11" s="1"/>
  <c r="W12" i="11" s="1"/>
  <c r="W13" i="11" s="1"/>
  <c r="W14" i="11" s="1"/>
  <c r="W15" i="11" s="1"/>
  <c r="W16" i="11" s="1"/>
  <c r="W17" i="11" s="1"/>
  <c r="W18" i="11" s="1"/>
  <c r="W19" i="11" s="1"/>
  <c r="W20" i="11" s="1"/>
  <c r="W21" i="11" s="1"/>
  <c r="W22" i="11" s="1"/>
  <c r="W23" i="11" s="1"/>
  <c r="W24" i="11" s="1"/>
  <c r="W25" i="11" s="1"/>
  <c r="W26" i="11" s="1"/>
  <c r="W27" i="11" s="1"/>
  <c r="W28" i="11" s="1"/>
  <c r="V3" i="11"/>
  <c r="T3" i="11"/>
  <c r="R3" i="11"/>
  <c r="R4" i="11" s="1"/>
  <c r="R5" i="11" s="1"/>
  <c r="R6" i="11" s="1"/>
  <c r="R7" i="11" s="1"/>
  <c r="R8" i="11" s="1"/>
  <c r="R9" i="11" s="1"/>
  <c r="R10" i="11" s="1"/>
  <c r="R11" i="11" s="1"/>
  <c r="R12" i="11" s="1"/>
  <c r="R13" i="11" s="1"/>
  <c r="R14" i="11" s="1"/>
  <c r="R15" i="11" s="1"/>
  <c r="R16" i="11" s="1"/>
  <c r="R17" i="11" s="1"/>
  <c r="R18" i="11" s="1"/>
  <c r="R19" i="11" s="1"/>
  <c r="R20" i="11" s="1"/>
  <c r="R21" i="11" s="1"/>
  <c r="R22" i="11" s="1"/>
  <c r="R23" i="11" s="1"/>
  <c r="R24" i="11" s="1"/>
  <c r="R25" i="11" s="1"/>
  <c r="R26" i="11" s="1"/>
  <c r="R27" i="11" s="1"/>
  <c r="R28" i="11" s="1"/>
  <c r="M3" i="11"/>
  <c r="AR2" i="11"/>
  <c r="AR3" i="11" s="1"/>
  <c r="AR4" i="11" s="1"/>
  <c r="AR5" i="11" s="1"/>
  <c r="AR6" i="11" s="1"/>
  <c r="AR7" i="11" s="1"/>
  <c r="AR8" i="11" s="1"/>
  <c r="AR9" i="11" s="1"/>
  <c r="AR10" i="11" s="1"/>
  <c r="AR11" i="11" s="1"/>
  <c r="AR12" i="11" s="1"/>
  <c r="AR13" i="11" s="1"/>
  <c r="AR14" i="11" s="1"/>
  <c r="AR15" i="11" s="1"/>
  <c r="AR16" i="11" s="1"/>
  <c r="AR17" i="11" s="1"/>
  <c r="AR18" i="11" s="1"/>
  <c r="AR19" i="11" s="1"/>
  <c r="AR20" i="11" s="1"/>
  <c r="AR21" i="11" s="1"/>
  <c r="AR22" i="11" s="1"/>
  <c r="AR23" i="11" s="1"/>
  <c r="AR24" i="11" s="1"/>
  <c r="AR25" i="11" s="1"/>
  <c r="AR26" i="11" s="1"/>
  <c r="AR27" i="11" s="1"/>
  <c r="AR28" i="11" s="1"/>
  <c r="AP2" i="11"/>
  <c r="AP3" i="11" s="1"/>
  <c r="AP4" i="11" s="1"/>
  <c r="AP5" i="11" s="1"/>
  <c r="AP6" i="11" s="1"/>
  <c r="AP7" i="11" s="1"/>
  <c r="AP8" i="11" s="1"/>
  <c r="AP9" i="11" s="1"/>
  <c r="AP10" i="11" s="1"/>
  <c r="AP11" i="11" s="1"/>
  <c r="AP12" i="11" s="1"/>
  <c r="AP13" i="11" s="1"/>
  <c r="AP14" i="11" s="1"/>
  <c r="AP15" i="11" s="1"/>
  <c r="AP16" i="11" s="1"/>
  <c r="AP17" i="11" s="1"/>
  <c r="AP18" i="11" s="1"/>
  <c r="AP19" i="11" s="1"/>
  <c r="AP20" i="11" s="1"/>
  <c r="AP21" i="11" s="1"/>
  <c r="AP22" i="11" s="1"/>
  <c r="AP23" i="11" s="1"/>
  <c r="AP24" i="11" s="1"/>
  <c r="AP25" i="11" s="1"/>
  <c r="AP26" i="11" s="1"/>
  <c r="AP27" i="11" s="1"/>
  <c r="AP28" i="11" s="1"/>
  <c r="AN2" i="11"/>
  <c r="AN3" i="11" s="1"/>
  <c r="AN4" i="11" s="1"/>
  <c r="AN5" i="11" s="1"/>
  <c r="AN6" i="11" s="1"/>
  <c r="AN7" i="11" s="1"/>
  <c r="AN8" i="11" s="1"/>
  <c r="AN9" i="11" s="1"/>
  <c r="AN10" i="11" s="1"/>
  <c r="AN11" i="11" s="1"/>
  <c r="AN12" i="11" s="1"/>
  <c r="AN13" i="11" s="1"/>
  <c r="AN14" i="11" s="1"/>
  <c r="AN15" i="11" s="1"/>
  <c r="AN16" i="11" s="1"/>
  <c r="AN17" i="11" s="1"/>
  <c r="AN18" i="11" s="1"/>
  <c r="AN19" i="11" s="1"/>
  <c r="AN20" i="11" s="1"/>
  <c r="AN21" i="11" s="1"/>
  <c r="AN22" i="11" s="1"/>
  <c r="AN23" i="11" s="1"/>
  <c r="AN24" i="11" s="1"/>
  <c r="AN25" i="11" s="1"/>
  <c r="AN26" i="11" s="1"/>
  <c r="AN27" i="11" s="1"/>
  <c r="AN28" i="11" s="1"/>
  <c r="AL2" i="11"/>
  <c r="X2" i="11"/>
  <c r="Y2" i="11" s="1"/>
  <c r="J2" i="11"/>
  <c r="C2" i="11" s="1"/>
  <c r="AQ29" i="10"/>
  <c r="AO29" i="10"/>
  <c r="AX3" i="10"/>
  <c r="AX4" i="10" s="1"/>
  <c r="AX5" i="10" s="1"/>
  <c r="AX6" i="10" s="1"/>
  <c r="AX7" i="10" s="1"/>
  <c r="AX8" i="10" s="1"/>
  <c r="AX9" i="10" s="1"/>
  <c r="AX10" i="10" s="1"/>
  <c r="AX11" i="10" s="1"/>
  <c r="AX12" i="10" s="1"/>
  <c r="AX13" i="10" s="1"/>
  <c r="AX14" i="10" s="1"/>
  <c r="AX15" i="10" s="1"/>
  <c r="AX16" i="10" s="1"/>
  <c r="AX17" i="10" s="1"/>
  <c r="AX18" i="10" s="1"/>
  <c r="AX19" i="10" s="1"/>
  <c r="AX20" i="10" s="1"/>
  <c r="AX21" i="10" s="1"/>
  <c r="AX22" i="10" s="1"/>
  <c r="AX23" i="10" s="1"/>
  <c r="AX24" i="10" s="1"/>
  <c r="AX25" i="10" s="1"/>
  <c r="AX26" i="10" s="1"/>
  <c r="AX27" i="10" s="1"/>
  <c r="AX28" i="10" s="1"/>
  <c r="AU3" i="10"/>
  <c r="AU4" i="10" s="1"/>
  <c r="AU5" i="10" s="1"/>
  <c r="AU6" i="10" s="1"/>
  <c r="AU7" i="10" s="1"/>
  <c r="AU8" i="10" s="1"/>
  <c r="AU9" i="10" s="1"/>
  <c r="AU10" i="10" s="1"/>
  <c r="AU11" i="10" s="1"/>
  <c r="AU12" i="10" s="1"/>
  <c r="AU13" i="10" s="1"/>
  <c r="AU14" i="10" s="1"/>
  <c r="AU15" i="10" s="1"/>
  <c r="AU16" i="10" s="1"/>
  <c r="AU17" i="10" s="1"/>
  <c r="AU18" i="10" s="1"/>
  <c r="AU19" i="10" s="1"/>
  <c r="AU20" i="10" s="1"/>
  <c r="AU21" i="10" s="1"/>
  <c r="AU22" i="10" s="1"/>
  <c r="AU23" i="10" s="1"/>
  <c r="AU24" i="10" s="1"/>
  <c r="AU25" i="10" s="1"/>
  <c r="AU26" i="10" s="1"/>
  <c r="AU27" i="10" s="1"/>
  <c r="AU28" i="10" s="1"/>
  <c r="W3" i="10"/>
  <c r="W4" i="10" s="1"/>
  <c r="W5" i="10" s="1"/>
  <c r="W6" i="10" s="1"/>
  <c r="W7" i="10" s="1"/>
  <c r="W8" i="10" s="1"/>
  <c r="W9" i="10" s="1"/>
  <c r="W10" i="10" s="1"/>
  <c r="W11" i="10" s="1"/>
  <c r="W12" i="10" s="1"/>
  <c r="W13" i="10" s="1"/>
  <c r="W14" i="10" s="1"/>
  <c r="W15" i="10" s="1"/>
  <c r="W16" i="10" s="1"/>
  <c r="W17" i="10" s="1"/>
  <c r="W18" i="10" s="1"/>
  <c r="W19" i="10" s="1"/>
  <c r="W20" i="10" s="1"/>
  <c r="W21" i="10" s="1"/>
  <c r="W22" i="10" s="1"/>
  <c r="W23" i="10" s="1"/>
  <c r="W24" i="10" s="1"/>
  <c r="W25" i="10" s="1"/>
  <c r="W26" i="10" s="1"/>
  <c r="W27" i="10" s="1"/>
  <c r="W28" i="10" s="1"/>
  <c r="V3" i="10"/>
  <c r="V4" i="10" s="1"/>
  <c r="V5" i="10" s="1"/>
  <c r="V6" i="10" s="1"/>
  <c r="V7" i="10" s="1"/>
  <c r="V8" i="10" s="1"/>
  <c r="V9" i="10" s="1"/>
  <c r="V10" i="10" s="1"/>
  <c r="V11" i="10" s="1"/>
  <c r="V12" i="10" s="1"/>
  <c r="V13" i="10" s="1"/>
  <c r="V14" i="10" s="1"/>
  <c r="V15" i="10" s="1"/>
  <c r="V16" i="10" s="1"/>
  <c r="V17" i="10" s="1"/>
  <c r="V18" i="10" s="1"/>
  <c r="V19" i="10" s="1"/>
  <c r="V20" i="10" s="1"/>
  <c r="V21" i="10" s="1"/>
  <c r="V22" i="10" s="1"/>
  <c r="V23" i="10" s="1"/>
  <c r="V24" i="10" s="1"/>
  <c r="V25" i="10" s="1"/>
  <c r="V26" i="10" s="1"/>
  <c r="V27" i="10" s="1"/>
  <c r="V28" i="10" s="1"/>
  <c r="T3" i="10"/>
  <c r="T4" i="10" s="1"/>
  <c r="T5" i="10" s="1"/>
  <c r="T6" i="10" s="1"/>
  <c r="R3" i="10"/>
  <c r="R4" i="10" s="1"/>
  <c r="M3" i="10"/>
  <c r="AR2" i="10"/>
  <c r="AR3" i="10" s="1"/>
  <c r="AR4" i="10" s="1"/>
  <c r="AR5" i="10" s="1"/>
  <c r="AR6" i="10" s="1"/>
  <c r="AR7" i="10" s="1"/>
  <c r="AR8" i="10" s="1"/>
  <c r="AR9" i="10" s="1"/>
  <c r="AR10" i="10" s="1"/>
  <c r="AR11" i="10" s="1"/>
  <c r="AR12" i="10" s="1"/>
  <c r="AR13" i="10" s="1"/>
  <c r="AR14" i="10" s="1"/>
  <c r="AR15" i="10" s="1"/>
  <c r="AR16" i="10" s="1"/>
  <c r="AR17" i="10" s="1"/>
  <c r="AR18" i="10" s="1"/>
  <c r="AR19" i="10" s="1"/>
  <c r="AR20" i="10" s="1"/>
  <c r="AR21" i="10" s="1"/>
  <c r="AR22" i="10" s="1"/>
  <c r="AR23" i="10" s="1"/>
  <c r="AR24" i="10" s="1"/>
  <c r="AR25" i="10" s="1"/>
  <c r="AR26" i="10" s="1"/>
  <c r="AR27" i="10" s="1"/>
  <c r="AR28" i="10" s="1"/>
  <c r="AP2" i="10"/>
  <c r="AP3" i="10" s="1"/>
  <c r="AP4" i="10" s="1"/>
  <c r="AP5" i="10" s="1"/>
  <c r="AP6" i="10" s="1"/>
  <c r="AP7" i="10" s="1"/>
  <c r="AP8" i="10" s="1"/>
  <c r="AP9" i="10" s="1"/>
  <c r="AP10" i="10" s="1"/>
  <c r="AP11" i="10" s="1"/>
  <c r="AP12" i="10" s="1"/>
  <c r="AP13" i="10" s="1"/>
  <c r="AP14" i="10" s="1"/>
  <c r="AP15" i="10" s="1"/>
  <c r="AP16" i="10" s="1"/>
  <c r="AP17" i="10" s="1"/>
  <c r="AP18" i="10" s="1"/>
  <c r="AP19" i="10" s="1"/>
  <c r="AP20" i="10" s="1"/>
  <c r="AP21" i="10" s="1"/>
  <c r="AP22" i="10" s="1"/>
  <c r="AP23" i="10" s="1"/>
  <c r="AP24" i="10" s="1"/>
  <c r="AP25" i="10" s="1"/>
  <c r="AP26" i="10" s="1"/>
  <c r="AP27" i="10" s="1"/>
  <c r="AP28" i="10" s="1"/>
  <c r="AN2" i="10"/>
  <c r="AN3" i="10" s="1"/>
  <c r="AN4" i="10" s="1"/>
  <c r="AN5" i="10" s="1"/>
  <c r="AN6" i="10" s="1"/>
  <c r="AN7" i="10" s="1"/>
  <c r="AN8" i="10" s="1"/>
  <c r="AN9" i="10" s="1"/>
  <c r="AN10" i="10" s="1"/>
  <c r="AN11" i="10" s="1"/>
  <c r="AN12" i="10" s="1"/>
  <c r="AN13" i="10" s="1"/>
  <c r="AN14" i="10" s="1"/>
  <c r="AN15" i="10" s="1"/>
  <c r="AN16" i="10" s="1"/>
  <c r="AN17" i="10" s="1"/>
  <c r="AN18" i="10" s="1"/>
  <c r="AN19" i="10" s="1"/>
  <c r="AN20" i="10" s="1"/>
  <c r="AN21" i="10" s="1"/>
  <c r="AN22" i="10" s="1"/>
  <c r="AN23" i="10" s="1"/>
  <c r="AN24" i="10" s="1"/>
  <c r="AN25" i="10" s="1"/>
  <c r="AN26" i="10" s="1"/>
  <c r="AN27" i="10" s="1"/>
  <c r="AN28" i="10" s="1"/>
  <c r="AQ29" i="9"/>
  <c r="AO29" i="9"/>
  <c r="AM29" i="9"/>
  <c r="AX3" i="9"/>
  <c r="AX4" i="9" s="1"/>
  <c r="AX5" i="9" s="1"/>
  <c r="AX6" i="9" s="1"/>
  <c r="AX7" i="9" s="1"/>
  <c r="AX8" i="9" s="1"/>
  <c r="AX9" i="9" s="1"/>
  <c r="AX10" i="9" s="1"/>
  <c r="AX11" i="9" s="1"/>
  <c r="AX12" i="9" s="1"/>
  <c r="AX13" i="9" s="1"/>
  <c r="AX14" i="9" s="1"/>
  <c r="AX15" i="9" s="1"/>
  <c r="AX16" i="9" s="1"/>
  <c r="AX17" i="9" s="1"/>
  <c r="AX18" i="9" s="1"/>
  <c r="AX19" i="9" s="1"/>
  <c r="AX20" i="9" s="1"/>
  <c r="AX21" i="9" s="1"/>
  <c r="AX22" i="9" s="1"/>
  <c r="AX23" i="9" s="1"/>
  <c r="AX24" i="9" s="1"/>
  <c r="AX25" i="9" s="1"/>
  <c r="AX26" i="9" s="1"/>
  <c r="AX27" i="9" s="1"/>
  <c r="AX28" i="9" s="1"/>
  <c r="AU3" i="9"/>
  <c r="AU4" i="9" s="1"/>
  <c r="AU5" i="9" s="1"/>
  <c r="AU6" i="9" s="1"/>
  <c r="AU7" i="9" s="1"/>
  <c r="AU8" i="9" s="1"/>
  <c r="AU9" i="9" s="1"/>
  <c r="AU10" i="9" s="1"/>
  <c r="AU11" i="9" s="1"/>
  <c r="AU12" i="9" s="1"/>
  <c r="AU13" i="9" s="1"/>
  <c r="AU14" i="9" s="1"/>
  <c r="AU15" i="9" s="1"/>
  <c r="AU16" i="9" s="1"/>
  <c r="AU17" i="9" s="1"/>
  <c r="AU18" i="9" s="1"/>
  <c r="AU19" i="9" s="1"/>
  <c r="AU20" i="9" s="1"/>
  <c r="AU21" i="9" s="1"/>
  <c r="AU22" i="9" s="1"/>
  <c r="AU23" i="9" s="1"/>
  <c r="AU24" i="9" s="1"/>
  <c r="AU25" i="9" s="1"/>
  <c r="AU26" i="9" s="1"/>
  <c r="AU27" i="9" s="1"/>
  <c r="AU28" i="9" s="1"/>
  <c r="W3" i="9"/>
  <c r="W4" i="9" s="1"/>
  <c r="W5" i="9" s="1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W27" i="9" s="1"/>
  <c r="W28" i="9" s="1"/>
  <c r="V3" i="9"/>
  <c r="V4" i="9" s="1"/>
  <c r="V5" i="9" s="1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T3" i="9"/>
  <c r="T4" i="9" s="1"/>
  <c r="T5" i="9" s="1"/>
  <c r="T6" i="9" s="1"/>
  <c r="T7" i="9" s="1"/>
  <c r="R3" i="9"/>
  <c r="R4" i="9" s="1"/>
  <c r="R5" i="9" s="1"/>
  <c r="R6" i="9" s="1"/>
  <c r="R7" i="9" s="1"/>
  <c r="R8" i="9" s="1"/>
  <c r="R9" i="9" s="1"/>
  <c r="R10" i="9" s="1"/>
  <c r="R11" i="9" s="1"/>
  <c r="R12" i="9" s="1"/>
  <c r="R13" i="9" s="1"/>
  <c r="R14" i="9" s="1"/>
  <c r="R15" i="9" s="1"/>
  <c r="R16" i="9" s="1"/>
  <c r="R17" i="9" s="1"/>
  <c r="R18" i="9" s="1"/>
  <c r="R19" i="9" s="1"/>
  <c r="R20" i="9" s="1"/>
  <c r="R21" i="9" s="1"/>
  <c r="R22" i="9" s="1"/>
  <c r="R23" i="9" s="1"/>
  <c r="R24" i="9" s="1"/>
  <c r="R25" i="9" s="1"/>
  <c r="R26" i="9" s="1"/>
  <c r="R27" i="9" s="1"/>
  <c r="R28" i="9" s="1"/>
  <c r="M3" i="9"/>
  <c r="AR2" i="9"/>
  <c r="AR3" i="9" s="1"/>
  <c r="AR4" i="9" s="1"/>
  <c r="AR5" i="9" s="1"/>
  <c r="AR6" i="9" s="1"/>
  <c r="AR7" i="9" s="1"/>
  <c r="AR8" i="9" s="1"/>
  <c r="AR9" i="9" s="1"/>
  <c r="AR10" i="9" s="1"/>
  <c r="AR11" i="9" s="1"/>
  <c r="AR12" i="9" s="1"/>
  <c r="AR13" i="9" s="1"/>
  <c r="AR14" i="9" s="1"/>
  <c r="AR15" i="9" s="1"/>
  <c r="AR16" i="9" s="1"/>
  <c r="AR17" i="9" s="1"/>
  <c r="AR18" i="9" s="1"/>
  <c r="AR19" i="9" s="1"/>
  <c r="AR20" i="9" s="1"/>
  <c r="AR21" i="9" s="1"/>
  <c r="AR22" i="9" s="1"/>
  <c r="AR23" i="9" s="1"/>
  <c r="AR24" i="9" s="1"/>
  <c r="AR25" i="9" s="1"/>
  <c r="AR26" i="9" s="1"/>
  <c r="AR27" i="9" s="1"/>
  <c r="AR28" i="9" s="1"/>
  <c r="AP2" i="9"/>
  <c r="AP3" i="9" s="1"/>
  <c r="AP4" i="9" s="1"/>
  <c r="AP5" i="9" s="1"/>
  <c r="AP6" i="9" s="1"/>
  <c r="AP7" i="9" s="1"/>
  <c r="AP8" i="9" s="1"/>
  <c r="AP9" i="9" s="1"/>
  <c r="AP10" i="9" s="1"/>
  <c r="AP11" i="9" s="1"/>
  <c r="AP12" i="9" s="1"/>
  <c r="AP13" i="9" s="1"/>
  <c r="AP14" i="9" s="1"/>
  <c r="AP15" i="9" s="1"/>
  <c r="AP16" i="9" s="1"/>
  <c r="AP17" i="9" s="1"/>
  <c r="AP18" i="9" s="1"/>
  <c r="AP19" i="9" s="1"/>
  <c r="AP20" i="9" s="1"/>
  <c r="AP21" i="9" s="1"/>
  <c r="AP22" i="9" s="1"/>
  <c r="AP23" i="9" s="1"/>
  <c r="AP24" i="9" s="1"/>
  <c r="AP25" i="9" s="1"/>
  <c r="AP26" i="9" s="1"/>
  <c r="AP27" i="9" s="1"/>
  <c r="AP28" i="9" s="1"/>
  <c r="AN2" i="9"/>
  <c r="AN3" i="9" s="1"/>
  <c r="AN4" i="9" s="1"/>
  <c r="AN5" i="9" s="1"/>
  <c r="AN6" i="9" s="1"/>
  <c r="AN7" i="9" s="1"/>
  <c r="AN8" i="9" s="1"/>
  <c r="AN9" i="9" s="1"/>
  <c r="AN10" i="9" s="1"/>
  <c r="AN11" i="9" s="1"/>
  <c r="AN12" i="9" s="1"/>
  <c r="AN13" i="9" s="1"/>
  <c r="AN14" i="9" s="1"/>
  <c r="AN15" i="9" s="1"/>
  <c r="AN16" i="9" s="1"/>
  <c r="AN17" i="9" s="1"/>
  <c r="AN18" i="9" s="1"/>
  <c r="AN19" i="9" s="1"/>
  <c r="AN20" i="9" s="1"/>
  <c r="AN21" i="9" s="1"/>
  <c r="AN22" i="9" s="1"/>
  <c r="AN23" i="9" s="1"/>
  <c r="AN24" i="9" s="1"/>
  <c r="AN25" i="9" s="1"/>
  <c r="AN26" i="9" s="1"/>
  <c r="AN27" i="9" s="1"/>
  <c r="AN28" i="9" s="1"/>
  <c r="AQ29" i="8"/>
  <c r="AO29" i="8"/>
  <c r="AM29" i="8"/>
  <c r="AX3" i="8"/>
  <c r="AX4" i="8" s="1"/>
  <c r="AX5" i="8" s="1"/>
  <c r="AX6" i="8" s="1"/>
  <c r="AX7" i="8" s="1"/>
  <c r="AX8" i="8" s="1"/>
  <c r="AX9" i="8" s="1"/>
  <c r="AX10" i="8" s="1"/>
  <c r="AX11" i="8" s="1"/>
  <c r="AX12" i="8" s="1"/>
  <c r="AX13" i="8" s="1"/>
  <c r="AX14" i="8" s="1"/>
  <c r="AX15" i="8" s="1"/>
  <c r="AX16" i="8" s="1"/>
  <c r="AX17" i="8" s="1"/>
  <c r="AX18" i="8" s="1"/>
  <c r="AX19" i="8" s="1"/>
  <c r="AX20" i="8" s="1"/>
  <c r="AX21" i="8" s="1"/>
  <c r="AX22" i="8" s="1"/>
  <c r="AX23" i="8" s="1"/>
  <c r="AX24" i="8" s="1"/>
  <c r="AX25" i="8" s="1"/>
  <c r="AX26" i="8" s="1"/>
  <c r="AX27" i="8" s="1"/>
  <c r="AX28" i="8" s="1"/>
  <c r="AU3" i="8"/>
  <c r="AU4" i="8" s="1"/>
  <c r="AU5" i="8" s="1"/>
  <c r="AU6" i="8" s="1"/>
  <c r="AU7" i="8" s="1"/>
  <c r="AU8" i="8" s="1"/>
  <c r="AU9" i="8" s="1"/>
  <c r="AU10" i="8" s="1"/>
  <c r="AU11" i="8" s="1"/>
  <c r="AU12" i="8" s="1"/>
  <c r="AU13" i="8" s="1"/>
  <c r="AU14" i="8" s="1"/>
  <c r="AU15" i="8" s="1"/>
  <c r="AU16" i="8" s="1"/>
  <c r="AU17" i="8" s="1"/>
  <c r="AU18" i="8" s="1"/>
  <c r="AU19" i="8" s="1"/>
  <c r="AU20" i="8" s="1"/>
  <c r="AU21" i="8" s="1"/>
  <c r="AU22" i="8" s="1"/>
  <c r="AU23" i="8" s="1"/>
  <c r="AU24" i="8" s="1"/>
  <c r="AU25" i="8" s="1"/>
  <c r="AU26" i="8" s="1"/>
  <c r="AU27" i="8" s="1"/>
  <c r="AU28" i="8" s="1"/>
  <c r="W3" i="8"/>
  <c r="W4" i="8" s="1"/>
  <c r="W5" i="8" s="1"/>
  <c r="W6" i="8" s="1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V3" i="8"/>
  <c r="V4" i="8" s="1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R3" i="8"/>
  <c r="R4" i="8" s="1"/>
  <c r="R5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M3" i="8"/>
  <c r="AR2" i="8"/>
  <c r="AR3" i="8" s="1"/>
  <c r="AR4" i="8" s="1"/>
  <c r="AR5" i="8" s="1"/>
  <c r="AR6" i="8" s="1"/>
  <c r="AR7" i="8" s="1"/>
  <c r="AR8" i="8" s="1"/>
  <c r="AR9" i="8" s="1"/>
  <c r="AR10" i="8" s="1"/>
  <c r="AR11" i="8" s="1"/>
  <c r="AR12" i="8" s="1"/>
  <c r="AR13" i="8" s="1"/>
  <c r="AR14" i="8" s="1"/>
  <c r="AR15" i="8" s="1"/>
  <c r="AR16" i="8" s="1"/>
  <c r="AR17" i="8" s="1"/>
  <c r="AR18" i="8" s="1"/>
  <c r="AR19" i="8" s="1"/>
  <c r="AR20" i="8" s="1"/>
  <c r="AR21" i="8" s="1"/>
  <c r="AR22" i="8" s="1"/>
  <c r="AR23" i="8" s="1"/>
  <c r="AR24" i="8" s="1"/>
  <c r="AR25" i="8" s="1"/>
  <c r="AR26" i="8" s="1"/>
  <c r="AR27" i="8" s="1"/>
  <c r="AR28" i="8" s="1"/>
  <c r="AP2" i="8"/>
  <c r="AP3" i="8" s="1"/>
  <c r="AP4" i="8" s="1"/>
  <c r="AP5" i="8" s="1"/>
  <c r="AP6" i="8" s="1"/>
  <c r="AP7" i="8" s="1"/>
  <c r="AP8" i="8" s="1"/>
  <c r="AP9" i="8" s="1"/>
  <c r="AP10" i="8" s="1"/>
  <c r="AP11" i="8" s="1"/>
  <c r="AP12" i="8" s="1"/>
  <c r="AP13" i="8" s="1"/>
  <c r="AP14" i="8" s="1"/>
  <c r="AP15" i="8" s="1"/>
  <c r="AP16" i="8" s="1"/>
  <c r="AP17" i="8" s="1"/>
  <c r="AP18" i="8" s="1"/>
  <c r="AP19" i="8" s="1"/>
  <c r="AP20" i="8" s="1"/>
  <c r="AP21" i="8" s="1"/>
  <c r="AP22" i="8" s="1"/>
  <c r="AP23" i="8" s="1"/>
  <c r="AP24" i="8" s="1"/>
  <c r="AP25" i="8" s="1"/>
  <c r="AP26" i="8" s="1"/>
  <c r="AP27" i="8" s="1"/>
  <c r="AP28" i="8" s="1"/>
  <c r="AN2" i="8"/>
  <c r="AN3" i="8" s="1"/>
  <c r="AN4" i="8" s="1"/>
  <c r="AN5" i="8" s="1"/>
  <c r="AN6" i="8" s="1"/>
  <c r="AN7" i="8" s="1"/>
  <c r="AN8" i="8" s="1"/>
  <c r="AN9" i="8" s="1"/>
  <c r="AN10" i="8" s="1"/>
  <c r="AN11" i="8" s="1"/>
  <c r="AN12" i="8" s="1"/>
  <c r="AN13" i="8" s="1"/>
  <c r="AN14" i="8" s="1"/>
  <c r="AN15" i="8" s="1"/>
  <c r="AN16" i="8" s="1"/>
  <c r="AN17" i="8" s="1"/>
  <c r="AN18" i="8" s="1"/>
  <c r="AN19" i="8" s="1"/>
  <c r="AN20" i="8" s="1"/>
  <c r="AN21" i="8" s="1"/>
  <c r="AN22" i="8" s="1"/>
  <c r="AN23" i="8" s="1"/>
  <c r="AN24" i="8" s="1"/>
  <c r="AN25" i="8" s="1"/>
  <c r="AN26" i="8" s="1"/>
  <c r="AN27" i="8" s="1"/>
  <c r="AN28" i="8" s="1"/>
  <c r="AQ29" i="7"/>
  <c r="AO29" i="7"/>
  <c r="AM29" i="7"/>
  <c r="AX3" i="7"/>
  <c r="AX4" i="7" s="1"/>
  <c r="AX5" i="7" s="1"/>
  <c r="AX6" i="7" s="1"/>
  <c r="AX7" i="7" s="1"/>
  <c r="AX8" i="7" s="1"/>
  <c r="AX9" i="7" s="1"/>
  <c r="AX10" i="7" s="1"/>
  <c r="AX11" i="7" s="1"/>
  <c r="AX12" i="7" s="1"/>
  <c r="AX13" i="7" s="1"/>
  <c r="AX14" i="7" s="1"/>
  <c r="AX15" i="7" s="1"/>
  <c r="AX16" i="7" s="1"/>
  <c r="AX17" i="7" s="1"/>
  <c r="AX18" i="7" s="1"/>
  <c r="AX19" i="7" s="1"/>
  <c r="AX20" i="7" s="1"/>
  <c r="AX21" i="7" s="1"/>
  <c r="AX22" i="7" s="1"/>
  <c r="AX23" i="7" s="1"/>
  <c r="AX24" i="7" s="1"/>
  <c r="AX25" i="7" s="1"/>
  <c r="AX26" i="7" s="1"/>
  <c r="AX27" i="7" s="1"/>
  <c r="AX28" i="7" s="1"/>
  <c r="AU3" i="7"/>
  <c r="AU4" i="7" s="1"/>
  <c r="AU5" i="7" s="1"/>
  <c r="AU6" i="7" s="1"/>
  <c r="AU7" i="7" s="1"/>
  <c r="AU8" i="7" s="1"/>
  <c r="AU9" i="7" s="1"/>
  <c r="AU10" i="7" s="1"/>
  <c r="AU11" i="7" s="1"/>
  <c r="AU12" i="7" s="1"/>
  <c r="AU13" i="7" s="1"/>
  <c r="AU14" i="7" s="1"/>
  <c r="AU15" i="7" s="1"/>
  <c r="AU16" i="7" s="1"/>
  <c r="AU17" i="7" s="1"/>
  <c r="AU18" i="7" s="1"/>
  <c r="AU19" i="7" s="1"/>
  <c r="AU20" i="7" s="1"/>
  <c r="AU21" i="7" s="1"/>
  <c r="AU22" i="7" s="1"/>
  <c r="AU23" i="7" s="1"/>
  <c r="AU24" i="7" s="1"/>
  <c r="AU25" i="7" s="1"/>
  <c r="AU26" i="7" s="1"/>
  <c r="AU27" i="7" s="1"/>
  <c r="AU28" i="7" s="1"/>
  <c r="W3" i="7"/>
  <c r="W4" i="7" s="1"/>
  <c r="W5" i="7" s="1"/>
  <c r="W6" i="7" s="1"/>
  <c r="W7" i="7" s="1"/>
  <c r="W8" i="7" s="1"/>
  <c r="W9" i="7" s="1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27" i="7" s="1"/>
  <c r="W28" i="7" s="1"/>
  <c r="V3" i="7"/>
  <c r="V4" i="7" s="1"/>
  <c r="V5" i="7" s="1"/>
  <c r="V6" i="7" s="1"/>
  <c r="V7" i="7" s="1"/>
  <c r="V8" i="7" s="1"/>
  <c r="V9" i="7" s="1"/>
  <c r="V10" i="7" s="1"/>
  <c r="V11" i="7" s="1"/>
  <c r="V12" i="7" s="1"/>
  <c r="V13" i="7" s="1"/>
  <c r="V14" i="7" s="1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V27" i="7" s="1"/>
  <c r="V28" i="7" s="1"/>
  <c r="T3" i="7"/>
  <c r="T4" i="7" s="1"/>
  <c r="T5" i="7" s="1"/>
  <c r="T6" i="7" s="1"/>
  <c r="R3" i="7"/>
  <c r="R4" i="7" s="1"/>
  <c r="R5" i="7" s="1"/>
  <c r="R6" i="7" s="1"/>
  <c r="R7" i="7" s="1"/>
  <c r="R8" i="7" s="1"/>
  <c r="M3" i="7"/>
  <c r="M4" i="7" s="1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AR2" i="7"/>
  <c r="AR3" i="7" s="1"/>
  <c r="AR4" i="7" s="1"/>
  <c r="AR5" i="7" s="1"/>
  <c r="AR6" i="7" s="1"/>
  <c r="AR7" i="7" s="1"/>
  <c r="AR8" i="7" s="1"/>
  <c r="AR9" i="7" s="1"/>
  <c r="AR10" i="7" s="1"/>
  <c r="AR11" i="7" s="1"/>
  <c r="AR12" i="7" s="1"/>
  <c r="AR13" i="7" s="1"/>
  <c r="AR14" i="7" s="1"/>
  <c r="AR15" i="7" s="1"/>
  <c r="AR16" i="7" s="1"/>
  <c r="AR17" i="7" s="1"/>
  <c r="AR18" i="7" s="1"/>
  <c r="AR19" i="7" s="1"/>
  <c r="AR20" i="7" s="1"/>
  <c r="AR21" i="7" s="1"/>
  <c r="AR22" i="7" s="1"/>
  <c r="AR23" i="7" s="1"/>
  <c r="AR24" i="7" s="1"/>
  <c r="AR25" i="7" s="1"/>
  <c r="AR26" i="7" s="1"/>
  <c r="AR27" i="7" s="1"/>
  <c r="AR28" i="7" s="1"/>
  <c r="AP2" i="7"/>
  <c r="AP3" i="7" s="1"/>
  <c r="AP4" i="7" s="1"/>
  <c r="AP5" i="7" s="1"/>
  <c r="AP6" i="7" s="1"/>
  <c r="AP7" i="7" s="1"/>
  <c r="AP8" i="7" s="1"/>
  <c r="AP9" i="7" s="1"/>
  <c r="AP10" i="7" s="1"/>
  <c r="AP11" i="7" s="1"/>
  <c r="AP12" i="7" s="1"/>
  <c r="AP13" i="7" s="1"/>
  <c r="AP14" i="7" s="1"/>
  <c r="AP15" i="7" s="1"/>
  <c r="AP16" i="7" s="1"/>
  <c r="AP17" i="7" s="1"/>
  <c r="AP18" i="7" s="1"/>
  <c r="AP19" i="7" s="1"/>
  <c r="AP20" i="7" s="1"/>
  <c r="AP21" i="7" s="1"/>
  <c r="AP22" i="7" s="1"/>
  <c r="AP23" i="7" s="1"/>
  <c r="AP24" i="7" s="1"/>
  <c r="AP25" i="7" s="1"/>
  <c r="AP26" i="7" s="1"/>
  <c r="AP27" i="7" s="1"/>
  <c r="AP28" i="7" s="1"/>
  <c r="AN2" i="7"/>
  <c r="AN3" i="7" s="1"/>
  <c r="AN4" i="7" s="1"/>
  <c r="AN5" i="7" s="1"/>
  <c r="AN6" i="7" s="1"/>
  <c r="AN7" i="7" s="1"/>
  <c r="AN8" i="7" s="1"/>
  <c r="AN9" i="7" s="1"/>
  <c r="AN10" i="7" s="1"/>
  <c r="AN11" i="7" s="1"/>
  <c r="AN12" i="7" s="1"/>
  <c r="AN13" i="7" s="1"/>
  <c r="AN14" i="7" s="1"/>
  <c r="AN15" i="7" s="1"/>
  <c r="AN16" i="7" s="1"/>
  <c r="AN17" i="7" s="1"/>
  <c r="AN18" i="7" s="1"/>
  <c r="AN19" i="7" s="1"/>
  <c r="AN20" i="7" s="1"/>
  <c r="AN21" i="7" s="1"/>
  <c r="AN22" i="7" s="1"/>
  <c r="AN23" i="7" s="1"/>
  <c r="AN24" i="7" s="1"/>
  <c r="AN25" i="7" s="1"/>
  <c r="AN26" i="7" s="1"/>
  <c r="AN27" i="7" s="1"/>
  <c r="AN28" i="7" s="1"/>
  <c r="AK3" i="7" l="1"/>
  <c r="AL3" i="7"/>
  <c r="M4" i="11"/>
  <c r="M5" i="11" s="1"/>
  <c r="M6" i="11" s="1"/>
  <c r="M7" i="11" s="1"/>
  <c r="M8" i="11" s="1"/>
  <c r="M9" i="11" s="1"/>
  <c r="M10" i="11" s="1"/>
  <c r="M11" i="11" s="1"/>
  <c r="M12" i="11" s="1"/>
  <c r="M13" i="11" s="1"/>
  <c r="M14" i="11" s="1"/>
  <c r="M15" i="11" s="1"/>
  <c r="M16" i="11" s="1"/>
  <c r="M17" i="11" s="1"/>
  <c r="M18" i="11" s="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D3" i="11"/>
  <c r="D4" i="11" s="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" i="10" s="1"/>
  <c r="D3" i="10" s="1"/>
  <c r="D4" i="10" s="1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" i="9" s="1"/>
  <c r="D3" i="9" s="1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" i="8" s="1"/>
  <c r="D3" i="8" s="1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" i="7" s="1"/>
  <c r="D3" i="7" s="1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" i="5" s="1"/>
  <c r="AL3" i="11"/>
  <c r="AL4" i="11" s="1"/>
  <c r="AL5" i="11" s="1"/>
  <c r="AL6" i="11" s="1"/>
  <c r="AL7" i="11" s="1"/>
  <c r="AL8" i="11" s="1"/>
  <c r="AL9" i="11" s="1"/>
  <c r="AL10" i="11" s="1"/>
  <c r="AL11" i="11" s="1"/>
  <c r="AL12" i="11" s="1"/>
  <c r="AL13" i="11" s="1"/>
  <c r="AL14" i="11" s="1"/>
  <c r="AL15" i="11" s="1"/>
  <c r="AL16" i="11" s="1"/>
  <c r="AL17" i="11" s="1"/>
  <c r="AL18" i="11" s="1"/>
  <c r="AL19" i="11" s="1"/>
  <c r="AL20" i="11" s="1"/>
  <c r="AL21" i="11" s="1"/>
  <c r="AL22" i="11" s="1"/>
  <c r="AL23" i="11" s="1"/>
  <c r="AL24" i="11" s="1"/>
  <c r="AL25" i="11" s="1"/>
  <c r="AL26" i="11" s="1"/>
  <c r="AL27" i="11" s="1"/>
  <c r="AL28" i="11" s="1"/>
  <c r="M4" i="8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4" i="9"/>
  <c r="M5" i="9" s="1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4" i="10"/>
  <c r="M5" i="10" s="1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G2" i="11"/>
  <c r="AK3" i="9"/>
  <c r="AK4" i="9" s="1"/>
  <c r="Z2" i="11"/>
  <c r="E2" i="11"/>
  <c r="I2" i="11"/>
  <c r="P2" i="11"/>
  <c r="AK29" i="11"/>
  <c r="T7" i="10"/>
  <c r="T8" i="10" s="1"/>
  <c r="R5" i="10"/>
  <c r="R6" i="10" s="1"/>
  <c r="T8" i="9"/>
  <c r="T9" i="9" s="1"/>
  <c r="AK29" i="8"/>
  <c r="AL2" i="8"/>
  <c r="AL3" i="8" s="1"/>
  <c r="AL4" i="8" s="1"/>
  <c r="AL5" i="8" s="1"/>
  <c r="AL6" i="8" s="1"/>
  <c r="AL7" i="8" s="1"/>
  <c r="AL8" i="8" s="1"/>
  <c r="AL9" i="8" s="1"/>
  <c r="AL10" i="8" s="1"/>
  <c r="AL11" i="8" s="1"/>
  <c r="AL12" i="8" s="1"/>
  <c r="AL13" i="8" s="1"/>
  <c r="AL14" i="8" s="1"/>
  <c r="AL15" i="8" s="1"/>
  <c r="AL16" i="8" s="1"/>
  <c r="AL17" i="8" s="1"/>
  <c r="AL18" i="8" s="1"/>
  <c r="AL19" i="8" s="1"/>
  <c r="AL20" i="8" s="1"/>
  <c r="AL21" i="8" s="1"/>
  <c r="AL22" i="8" s="1"/>
  <c r="AL23" i="8" s="1"/>
  <c r="AL24" i="8" s="1"/>
  <c r="AL25" i="8" s="1"/>
  <c r="AL26" i="8" s="1"/>
  <c r="AL27" i="8" s="1"/>
  <c r="AL28" i="8" s="1"/>
  <c r="T7" i="7"/>
  <c r="R9" i="7"/>
  <c r="R10" i="7" s="1"/>
  <c r="R11" i="7" s="1"/>
  <c r="R12" i="7" s="1"/>
  <c r="AK4" i="7"/>
  <c r="AK5" i="7" s="1"/>
  <c r="AK6" i="7" s="1"/>
  <c r="AK7" i="7" s="1"/>
  <c r="AK8" i="7" s="1"/>
  <c r="AK9" i="7" s="1"/>
  <c r="AK10" i="7" s="1"/>
  <c r="AK11" i="7" s="1"/>
  <c r="AK12" i="7" s="1"/>
  <c r="AK13" i="7" s="1"/>
  <c r="AK14" i="7" s="1"/>
  <c r="AK15" i="7" s="1"/>
  <c r="AK16" i="7" s="1"/>
  <c r="AK17" i="7" s="1"/>
  <c r="AK18" i="7" s="1"/>
  <c r="AK19" i="7" s="1"/>
  <c r="AK20" i="7" s="1"/>
  <c r="AK21" i="7" s="1"/>
  <c r="AK22" i="7" s="1"/>
  <c r="AK23" i="7" s="1"/>
  <c r="AK24" i="7" s="1"/>
  <c r="AK25" i="7" s="1"/>
  <c r="AK26" i="7" s="1"/>
  <c r="AK27" i="7" s="1"/>
  <c r="AK28" i="7" s="1"/>
  <c r="AQ29" i="5"/>
  <c r="AO29" i="5"/>
  <c r="AM29" i="5"/>
  <c r="AX3" i="5"/>
  <c r="AX4" i="5" s="1"/>
  <c r="AX5" i="5" s="1"/>
  <c r="AX6" i="5" s="1"/>
  <c r="AX7" i="5" s="1"/>
  <c r="AX8" i="5" s="1"/>
  <c r="AX9" i="5" s="1"/>
  <c r="AX10" i="5" s="1"/>
  <c r="AX11" i="5" s="1"/>
  <c r="AX12" i="5" s="1"/>
  <c r="AX13" i="5" s="1"/>
  <c r="AX14" i="5" s="1"/>
  <c r="AX15" i="5" s="1"/>
  <c r="AX16" i="5" s="1"/>
  <c r="AX17" i="5" s="1"/>
  <c r="AX18" i="5" s="1"/>
  <c r="AX19" i="5" s="1"/>
  <c r="AX20" i="5" s="1"/>
  <c r="AX21" i="5" s="1"/>
  <c r="AX22" i="5" s="1"/>
  <c r="AX23" i="5" s="1"/>
  <c r="AX24" i="5" s="1"/>
  <c r="AX25" i="5" s="1"/>
  <c r="AX26" i="5" s="1"/>
  <c r="AX27" i="5" s="1"/>
  <c r="AX28" i="5" s="1"/>
  <c r="AU3" i="5"/>
  <c r="AU4" i="5" s="1"/>
  <c r="AU5" i="5" s="1"/>
  <c r="AU6" i="5" s="1"/>
  <c r="AU7" i="5" s="1"/>
  <c r="AU8" i="5" s="1"/>
  <c r="AU9" i="5" s="1"/>
  <c r="AU10" i="5" s="1"/>
  <c r="AU11" i="5" s="1"/>
  <c r="AU12" i="5" s="1"/>
  <c r="AU13" i="5" s="1"/>
  <c r="AU14" i="5" s="1"/>
  <c r="AU15" i="5" s="1"/>
  <c r="AU16" i="5" s="1"/>
  <c r="AU17" i="5" s="1"/>
  <c r="AU18" i="5" s="1"/>
  <c r="AU19" i="5" s="1"/>
  <c r="AU20" i="5" s="1"/>
  <c r="AU21" i="5" s="1"/>
  <c r="AU22" i="5" s="1"/>
  <c r="AU23" i="5" s="1"/>
  <c r="AU24" i="5" s="1"/>
  <c r="AU25" i="5" s="1"/>
  <c r="AU26" i="5" s="1"/>
  <c r="AU27" i="5" s="1"/>
  <c r="AU28" i="5" s="1"/>
  <c r="V3" i="5"/>
  <c r="V4" i="5" s="1"/>
  <c r="V5" i="5" s="1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W3" i="5"/>
  <c r="W4" i="5" s="1"/>
  <c r="W5" i="5" s="1"/>
  <c r="W6" i="5" s="1"/>
  <c r="W7" i="5" s="1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T3" i="5"/>
  <c r="T4" i="5" s="1"/>
  <c r="T5" i="5" s="1"/>
  <c r="R3" i="5"/>
  <c r="R4" i="5" s="1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M3" i="5"/>
  <c r="M4" i="5" s="1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AR2" i="5"/>
  <c r="AP2" i="5"/>
  <c r="AP3" i="5" s="1"/>
  <c r="AP4" i="5" s="1"/>
  <c r="AP5" i="5" s="1"/>
  <c r="AP6" i="5" s="1"/>
  <c r="AP7" i="5" s="1"/>
  <c r="AP8" i="5" s="1"/>
  <c r="AP9" i="5" s="1"/>
  <c r="AP10" i="5" s="1"/>
  <c r="AP11" i="5" s="1"/>
  <c r="AP12" i="5" s="1"/>
  <c r="AP13" i="5" s="1"/>
  <c r="AP14" i="5" s="1"/>
  <c r="AP15" i="5" s="1"/>
  <c r="AP16" i="5" s="1"/>
  <c r="AP17" i="5" s="1"/>
  <c r="AP18" i="5" s="1"/>
  <c r="AP19" i="5" s="1"/>
  <c r="AP20" i="5" s="1"/>
  <c r="AP21" i="5" s="1"/>
  <c r="AP22" i="5" s="1"/>
  <c r="AP23" i="5" s="1"/>
  <c r="AP24" i="5" s="1"/>
  <c r="AP25" i="5" s="1"/>
  <c r="AP26" i="5" s="1"/>
  <c r="AP27" i="5" s="1"/>
  <c r="AP28" i="5" s="1"/>
  <c r="AN2" i="5"/>
  <c r="AN3" i="5" s="1"/>
  <c r="AN4" i="5" s="1"/>
  <c r="AN5" i="5" s="1"/>
  <c r="AN6" i="5" s="1"/>
  <c r="AN7" i="5" s="1"/>
  <c r="AN8" i="5" s="1"/>
  <c r="AN9" i="5" s="1"/>
  <c r="AN10" i="5" s="1"/>
  <c r="AN11" i="5" s="1"/>
  <c r="AN12" i="5" s="1"/>
  <c r="AN13" i="5" s="1"/>
  <c r="AN14" i="5" s="1"/>
  <c r="AN15" i="5" s="1"/>
  <c r="AN16" i="5" s="1"/>
  <c r="AN17" i="5" s="1"/>
  <c r="AN18" i="5" s="1"/>
  <c r="AN19" i="5" s="1"/>
  <c r="AN20" i="5" s="1"/>
  <c r="AN21" i="5" s="1"/>
  <c r="AN22" i="5" s="1"/>
  <c r="AN23" i="5" s="1"/>
  <c r="AN24" i="5" s="1"/>
  <c r="AN25" i="5" s="1"/>
  <c r="AN26" i="5" s="1"/>
  <c r="AN27" i="5" s="1"/>
  <c r="AN28" i="5" s="1"/>
  <c r="AL2" i="5"/>
  <c r="AI2" i="11" l="1"/>
  <c r="AS2" i="11"/>
  <c r="AR3" i="5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AJ2" i="11"/>
  <c r="AL3" i="9"/>
  <c r="AK5" i="9"/>
  <c r="AK6" i="9" s="1"/>
  <c r="AK7" i="9" s="1"/>
  <c r="AK8" i="9" s="1"/>
  <c r="AK9" i="9" s="1"/>
  <c r="AK10" i="9" s="1"/>
  <c r="AK11" i="9" s="1"/>
  <c r="AK12" i="9" s="1"/>
  <c r="AK13" i="9" s="1"/>
  <c r="AK14" i="9" s="1"/>
  <c r="AK15" i="9" s="1"/>
  <c r="AK16" i="9" s="1"/>
  <c r="AK17" i="9" s="1"/>
  <c r="AK18" i="9" s="1"/>
  <c r="AK19" i="9" s="1"/>
  <c r="AK20" i="9" s="1"/>
  <c r="AK21" i="9" s="1"/>
  <c r="AK22" i="9" s="1"/>
  <c r="AK23" i="9" s="1"/>
  <c r="AK24" i="9" s="1"/>
  <c r="AK25" i="9" s="1"/>
  <c r="AK26" i="9" s="1"/>
  <c r="AK27" i="9" s="1"/>
  <c r="AK28" i="9" s="1"/>
  <c r="AL4" i="9"/>
  <c r="AL5" i="9" s="1"/>
  <c r="AL6" i="9" s="1"/>
  <c r="AL7" i="9" s="1"/>
  <c r="AL8" i="9" s="1"/>
  <c r="AL9" i="9" s="1"/>
  <c r="AL10" i="9" s="1"/>
  <c r="AL11" i="9" s="1"/>
  <c r="AL12" i="9" s="1"/>
  <c r="AL13" i="9" s="1"/>
  <c r="AL14" i="9" s="1"/>
  <c r="AL15" i="9" s="1"/>
  <c r="AL16" i="9" s="1"/>
  <c r="AL17" i="9" s="1"/>
  <c r="AL18" i="9" s="1"/>
  <c r="AL19" i="9" s="1"/>
  <c r="AL20" i="9" s="1"/>
  <c r="AL21" i="9" s="1"/>
  <c r="AL22" i="9" s="1"/>
  <c r="AL23" i="9" s="1"/>
  <c r="AL24" i="9" s="1"/>
  <c r="AL25" i="9" s="1"/>
  <c r="AL26" i="9" s="1"/>
  <c r="AL27" i="9" s="1"/>
  <c r="AL28" i="9" s="1"/>
  <c r="AK29" i="7"/>
  <c r="AL4" i="7"/>
  <c r="AL5" i="7" s="1"/>
  <c r="AL6" i="7" s="1"/>
  <c r="AL7" i="7" s="1"/>
  <c r="AL8" i="7" s="1"/>
  <c r="AL9" i="7" s="1"/>
  <c r="AL10" i="7" s="1"/>
  <c r="AL11" i="7" s="1"/>
  <c r="AL12" i="7" s="1"/>
  <c r="AL13" i="7" s="1"/>
  <c r="AL14" i="7" s="1"/>
  <c r="AL15" i="7" s="1"/>
  <c r="AL16" i="7" s="1"/>
  <c r="AL17" i="7" s="1"/>
  <c r="AL18" i="7" s="1"/>
  <c r="AL19" i="7" s="1"/>
  <c r="AL20" i="7" s="1"/>
  <c r="AL21" i="7" s="1"/>
  <c r="AL22" i="7" s="1"/>
  <c r="AL23" i="7" s="1"/>
  <c r="AL24" i="7" s="1"/>
  <c r="AL25" i="7" s="1"/>
  <c r="AL26" i="7" s="1"/>
  <c r="AL27" i="7" s="1"/>
  <c r="AL28" i="7" s="1"/>
  <c r="AF2" i="11"/>
  <c r="AC2" i="11"/>
  <c r="AA2" i="11"/>
  <c r="AT2" i="11"/>
  <c r="U27" i="11"/>
  <c r="U25" i="11"/>
  <c r="U23" i="11"/>
  <c r="U21" i="11"/>
  <c r="U19" i="11"/>
  <c r="U17" i="11"/>
  <c r="U15" i="11"/>
  <c r="U13" i="11"/>
  <c r="U11" i="11"/>
  <c r="U9" i="11"/>
  <c r="U7" i="11"/>
  <c r="U5" i="11"/>
  <c r="U3" i="11"/>
  <c r="S27" i="11"/>
  <c r="S25" i="11"/>
  <c r="S23" i="11"/>
  <c r="S21" i="11"/>
  <c r="S19" i="11"/>
  <c r="S17" i="11"/>
  <c r="S15" i="11"/>
  <c r="S13" i="11"/>
  <c r="S11" i="11"/>
  <c r="S9" i="11"/>
  <c r="S7" i="11"/>
  <c r="S5" i="11"/>
  <c r="S3" i="11"/>
  <c r="U2" i="11"/>
  <c r="U28" i="11"/>
  <c r="U26" i="11"/>
  <c r="U24" i="11"/>
  <c r="U22" i="11"/>
  <c r="U20" i="11"/>
  <c r="U18" i="11"/>
  <c r="U16" i="11"/>
  <c r="U14" i="11"/>
  <c r="U12" i="11"/>
  <c r="U10" i="11"/>
  <c r="U8" i="11"/>
  <c r="U6" i="11"/>
  <c r="U4" i="11"/>
  <c r="S28" i="11"/>
  <c r="S26" i="11"/>
  <c r="S24" i="11"/>
  <c r="S22" i="11"/>
  <c r="S20" i="11"/>
  <c r="S18" i="11"/>
  <c r="S16" i="11"/>
  <c r="S14" i="11"/>
  <c r="S12" i="11"/>
  <c r="S10" i="11"/>
  <c r="S8" i="11"/>
  <c r="S6" i="11"/>
  <c r="S4" i="11"/>
  <c r="S2" i="11"/>
  <c r="T9" i="10"/>
  <c r="R7" i="10"/>
  <c r="T10" i="9"/>
  <c r="R13" i="7"/>
  <c r="T8" i="7"/>
  <c r="AK3" i="5"/>
  <c r="AK4" i="5" s="1"/>
  <c r="AK5" i="5" s="1"/>
  <c r="AK6" i="5" s="1"/>
  <c r="AK7" i="5" s="1"/>
  <c r="AK8" i="5" s="1"/>
  <c r="AK9" i="5" s="1"/>
  <c r="AK10" i="5" s="1"/>
  <c r="AK11" i="5" s="1"/>
  <c r="AK12" i="5" s="1"/>
  <c r="AK13" i="5" s="1"/>
  <c r="AK14" i="5" s="1"/>
  <c r="AK15" i="5" s="1"/>
  <c r="AK16" i="5" s="1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K27" i="5" s="1"/>
  <c r="AK28" i="5" s="1"/>
  <c r="T6" i="5"/>
  <c r="T7" i="5" s="1"/>
  <c r="T8" i="5" s="1"/>
  <c r="T9" i="5" s="1"/>
  <c r="T10" i="5" s="1"/>
  <c r="T11" i="5" s="1"/>
  <c r="T12" i="5" s="1"/>
  <c r="T13" i="5" s="1"/>
  <c r="T14" i="5" s="1"/>
  <c r="M25" i="5"/>
  <c r="R27" i="5"/>
  <c r="R28" i="5" s="1"/>
  <c r="AR4" i="5" l="1"/>
  <c r="F3" i="11"/>
  <c r="B3" i="11"/>
  <c r="AK29" i="9"/>
  <c r="H3" i="11"/>
  <c r="AG2" i="11"/>
  <c r="AV2" i="11"/>
  <c r="AD2" i="11"/>
  <c r="T10" i="10"/>
  <c r="R8" i="10"/>
  <c r="T11" i="9"/>
  <c r="R14" i="7"/>
  <c r="T9" i="7"/>
  <c r="AK29" i="5"/>
  <c r="AL3" i="5"/>
  <c r="AL4" i="5" s="1"/>
  <c r="AL5" i="5" s="1"/>
  <c r="AL6" i="5" s="1"/>
  <c r="AL7" i="5" s="1"/>
  <c r="AL8" i="5" s="1"/>
  <c r="AL9" i="5" s="1"/>
  <c r="AL10" i="5" s="1"/>
  <c r="AL11" i="5" s="1"/>
  <c r="AL12" i="5" s="1"/>
  <c r="AL13" i="5" s="1"/>
  <c r="AL14" i="5" s="1"/>
  <c r="AL15" i="5" s="1"/>
  <c r="AL16" i="5" s="1"/>
  <c r="AL17" i="5" s="1"/>
  <c r="AL18" i="5" s="1"/>
  <c r="AL19" i="5" s="1"/>
  <c r="AL20" i="5" s="1"/>
  <c r="AL21" i="5" s="1"/>
  <c r="AL22" i="5" s="1"/>
  <c r="AL23" i="5" s="1"/>
  <c r="AL24" i="5" s="1"/>
  <c r="AL25" i="5" s="1"/>
  <c r="AL26" i="5" s="1"/>
  <c r="AL27" i="5" s="1"/>
  <c r="AL28" i="5" s="1"/>
  <c r="T15" i="5"/>
  <c r="M26" i="5"/>
  <c r="D26" i="5" s="1"/>
  <c r="AR5" i="5" l="1"/>
  <c r="J3" i="11"/>
  <c r="AZ2" i="11"/>
  <c r="AY2" i="11"/>
  <c r="T11" i="10"/>
  <c r="R9" i="10"/>
  <c r="T12" i="9"/>
  <c r="R15" i="7"/>
  <c r="T10" i="7"/>
  <c r="T16" i="5"/>
  <c r="M27" i="5"/>
  <c r="D27" i="5" s="1"/>
  <c r="AR6" i="5" l="1"/>
  <c r="I3" i="11"/>
  <c r="G3" i="11"/>
  <c r="E3" i="11"/>
  <c r="C3" i="11"/>
  <c r="O3" i="11"/>
  <c r="P3" i="11" s="1"/>
  <c r="K3" i="11"/>
  <c r="L3" i="11" s="1"/>
  <c r="R10" i="10"/>
  <c r="T12" i="10"/>
  <c r="T13" i="9"/>
  <c r="T11" i="7"/>
  <c r="R16" i="7"/>
  <c r="M28" i="5"/>
  <c r="D28" i="5" s="1"/>
  <c r="T17" i="5"/>
  <c r="AR7" i="5" l="1"/>
  <c r="X3" i="11"/>
  <c r="Y3" i="11" s="1"/>
  <c r="Q3" i="11"/>
  <c r="R11" i="10"/>
  <c r="T13" i="10"/>
  <c r="T14" i="9"/>
  <c r="R17" i="7"/>
  <c r="T12" i="7"/>
  <c r="T18" i="5"/>
  <c r="AR8" i="5" l="1"/>
  <c r="Z3" i="11"/>
  <c r="T14" i="10"/>
  <c r="R12" i="10"/>
  <c r="T15" i="9"/>
  <c r="T13" i="7"/>
  <c r="R18" i="7"/>
  <c r="T19" i="5"/>
  <c r="AI3" i="11" l="1"/>
  <c r="AS3" i="11"/>
  <c r="AR9" i="5"/>
  <c r="AJ3" i="11"/>
  <c r="AF3" i="11"/>
  <c r="AC3" i="11"/>
  <c r="AT3" i="11"/>
  <c r="AA3" i="11"/>
  <c r="T15" i="10"/>
  <c r="R13" i="10"/>
  <c r="T16" i="9"/>
  <c r="R19" i="7"/>
  <c r="T14" i="7"/>
  <c r="T20" i="5"/>
  <c r="AR10" i="5" l="1"/>
  <c r="B4" i="11"/>
  <c r="F4" i="11"/>
  <c r="AV3" i="11"/>
  <c r="AD3" i="11"/>
  <c r="H4" i="11"/>
  <c r="AG3" i="11"/>
  <c r="R14" i="10"/>
  <c r="T16" i="10"/>
  <c r="T17" i="9"/>
  <c r="T15" i="7"/>
  <c r="R20" i="7"/>
  <c r="T21" i="5"/>
  <c r="AR11" i="5" l="1"/>
  <c r="J4" i="11"/>
  <c r="AZ3" i="11"/>
  <c r="AY3" i="11"/>
  <c r="T17" i="10"/>
  <c r="R15" i="10"/>
  <c r="T18" i="9"/>
  <c r="R21" i="7"/>
  <c r="T16" i="7"/>
  <c r="T22" i="5"/>
  <c r="AR12" i="5" l="1"/>
  <c r="G4" i="11"/>
  <c r="K4" i="11"/>
  <c r="L4" i="11" s="1"/>
  <c r="I4" i="11"/>
  <c r="E4" i="11"/>
  <c r="C4" i="11"/>
  <c r="O4" i="11"/>
  <c r="P4" i="11" s="1"/>
  <c r="R16" i="10"/>
  <c r="T18" i="10"/>
  <c r="T19" i="9"/>
  <c r="T17" i="7"/>
  <c r="R22" i="7"/>
  <c r="T23" i="5"/>
  <c r="AR13" i="5" l="1"/>
  <c r="Q4" i="11"/>
  <c r="X4" i="11"/>
  <c r="Y4" i="11" s="1"/>
  <c r="T19" i="10"/>
  <c r="R17" i="10"/>
  <c r="T20" i="9"/>
  <c r="R23" i="7"/>
  <c r="T18" i="7"/>
  <c r="T24" i="5"/>
  <c r="AR14" i="5" l="1"/>
  <c r="Z4" i="11"/>
  <c r="R18" i="10"/>
  <c r="T20" i="10"/>
  <c r="T21" i="9"/>
  <c r="T19" i="7"/>
  <c r="R24" i="7"/>
  <c r="T25" i="5"/>
  <c r="AI4" i="11" l="1"/>
  <c r="AS4" i="11"/>
  <c r="AR15" i="5"/>
  <c r="AJ4" i="11"/>
  <c r="AF4" i="11"/>
  <c r="AC4" i="11"/>
  <c r="AT4" i="11"/>
  <c r="AA4" i="11"/>
  <c r="T21" i="10"/>
  <c r="R19" i="10"/>
  <c r="T22" i="9"/>
  <c r="R25" i="7"/>
  <c r="T20" i="7"/>
  <c r="T26" i="5"/>
  <c r="AR16" i="5" l="1"/>
  <c r="B5" i="11"/>
  <c r="F5" i="11"/>
  <c r="AV4" i="11"/>
  <c r="AD4" i="11"/>
  <c r="H5" i="11"/>
  <c r="AG4" i="11"/>
  <c r="R20" i="10"/>
  <c r="T22" i="10"/>
  <c r="T23" i="9"/>
  <c r="T21" i="7"/>
  <c r="R26" i="7"/>
  <c r="T27" i="5"/>
  <c r="AR17" i="5" l="1"/>
  <c r="AZ4" i="11"/>
  <c r="AY4" i="11"/>
  <c r="J5" i="11"/>
  <c r="T23" i="10"/>
  <c r="R21" i="10"/>
  <c r="T24" i="9"/>
  <c r="R27" i="7"/>
  <c r="T22" i="7"/>
  <c r="T28" i="5"/>
  <c r="AR18" i="5" l="1"/>
  <c r="I5" i="11"/>
  <c r="G5" i="11"/>
  <c r="E5" i="11"/>
  <c r="C5" i="11"/>
  <c r="O5" i="11"/>
  <c r="P5" i="11" s="1"/>
  <c r="K5" i="11"/>
  <c r="L5" i="11" s="1"/>
  <c r="R22" i="10"/>
  <c r="T24" i="10"/>
  <c r="T25" i="9"/>
  <c r="T23" i="7"/>
  <c r="R28" i="7"/>
  <c r="AR19" i="5" l="1"/>
  <c r="X5" i="11"/>
  <c r="Y5" i="11" s="1"/>
  <c r="Q5" i="11"/>
  <c r="R23" i="10"/>
  <c r="T25" i="10"/>
  <c r="T26" i="9"/>
  <c r="T24" i="7"/>
  <c r="AR20" i="5" l="1"/>
  <c r="Z5" i="11"/>
  <c r="T26" i="10"/>
  <c r="R24" i="10"/>
  <c r="T27" i="9"/>
  <c r="T25" i="7"/>
  <c r="AI5" i="11" l="1"/>
  <c r="AS5" i="11"/>
  <c r="AR21" i="5"/>
  <c r="AJ5" i="11"/>
  <c r="AF5" i="11"/>
  <c r="AC5" i="11"/>
  <c r="AT5" i="11"/>
  <c r="AA5" i="11"/>
  <c r="R25" i="10"/>
  <c r="T27" i="10"/>
  <c r="T28" i="9"/>
  <c r="T26" i="7"/>
  <c r="AR22" i="5" l="1"/>
  <c r="B6" i="11"/>
  <c r="F6" i="11"/>
  <c r="AD5" i="11"/>
  <c r="AV5" i="11"/>
  <c r="AG5" i="11"/>
  <c r="H6" i="11"/>
  <c r="T28" i="10"/>
  <c r="R26" i="10"/>
  <c r="T27" i="7"/>
  <c r="AR23" i="5" l="1"/>
  <c r="AZ5" i="11"/>
  <c r="AY5" i="11"/>
  <c r="J6" i="11"/>
  <c r="R27" i="10"/>
  <c r="T28" i="7"/>
  <c r="AR24" i="5" l="1"/>
  <c r="G6" i="11"/>
  <c r="K6" i="11"/>
  <c r="L6" i="11" s="1"/>
  <c r="I6" i="11"/>
  <c r="E6" i="11"/>
  <c r="C6" i="11"/>
  <c r="O6" i="11"/>
  <c r="P6" i="11" s="1"/>
  <c r="R28" i="10"/>
  <c r="AR25" i="5" l="1"/>
  <c r="Q6" i="11"/>
  <c r="X6" i="11"/>
  <c r="Y6" i="11" s="1"/>
  <c r="AR26" i="5" l="1"/>
  <c r="Z6" i="11"/>
  <c r="AI6" i="11" l="1"/>
  <c r="AS6" i="11"/>
  <c r="AR27" i="5"/>
  <c r="AJ6" i="11"/>
  <c r="AF6" i="11"/>
  <c r="AC6" i="11"/>
  <c r="AA6" i="11"/>
  <c r="AT6" i="11"/>
  <c r="AR28" i="5" l="1"/>
  <c r="B7" i="11"/>
  <c r="F7" i="11"/>
  <c r="AV6" i="11"/>
  <c r="AD6" i="11"/>
  <c r="AG6" i="11"/>
  <c r="H7" i="11"/>
  <c r="J7" i="11" l="1"/>
  <c r="AZ6" i="11"/>
  <c r="AY6" i="11"/>
  <c r="I7" i="11" l="1"/>
  <c r="G7" i="11"/>
  <c r="E7" i="11"/>
  <c r="C7" i="11"/>
  <c r="O7" i="11"/>
  <c r="P7" i="11" s="1"/>
  <c r="K7" i="11"/>
  <c r="L7" i="11" s="1"/>
  <c r="X7" i="11" l="1"/>
  <c r="Y7" i="11" s="1"/>
  <c r="Z7" i="11" s="1"/>
  <c r="Q7" i="11"/>
  <c r="AI7" i="11" l="1"/>
  <c r="AJ7" i="11" s="1"/>
  <c r="AS7" i="11"/>
  <c r="AF7" i="11"/>
  <c r="AC7" i="11"/>
  <c r="AT7" i="11"/>
  <c r="AA7" i="11"/>
  <c r="B8" i="11" l="1"/>
  <c r="F8" i="11"/>
  <c r="AD7" i="11"/>
  <c r="AV7" i="11"/>
  <c r="AG7" i="11"/>
  <c r="H8" i="11"/>
  <c r="J8" i="11" l="1"/>
  <c r="AZ7" i="11"/>
  <c r="AY7" i="11"/>
  <c r="G8" i="11" l="1"/>
  <c r="K8" i="11"/>
  <c r="L8" i="11" s="1"/>
  <c r="I8" i="11"/>
  <c r="E8" i="11"/>
  <c r="C8" i="11"/>
  <c r="O8" i="11"/>
  <c r="P8" i="11" s="1"/>
  <c r="Q8" i="11" l="1"/>
  <c r="X8" i="11"/>
  <c r="Y8" i="11" s="1"/>
  <c r="Z8" i="11" s="1"/>
  <c r="AI8" i="11" l="1"/>
  <c r="AJ8" i="11" s="1"/>
  <c r="AS8" i="11"/>
  <c r="AF8" i="11"/>
  <c r="AC8" i="11"/>
  <c r="AA8" i="11"/>
  <c r="AT8" i="11"/>
  <c r="B9" i="11" l="1"/>
  <c r="F9" i="11"/>
  <c r="AD8" i="11"/>
  <c r="AV8" i="11"/>
  <c r="AG8" i="11"/>
  <c r="H9" i="11"/>
  <c r="AZ8" i="11" l="1"/>
  <c r="AY8" i="11"/>
  <c r="J9" i="11"/>
  <c r="I9" i="11" l="1"/>
  <c r="G9" i="11"/>
  <c r="E9" i="11"/>
  <c r="C9" i="11"/>
  <c r="O9" i="11"/>
  <c r="P9" i="11" s="1"/>
  <c r="K9" i="11"/>
  <c r="L9" i="11" s="1"/>
  <c r="X9" i="11" l="1"/>
  <c r="Y9" i="11" s="1"/>
  <c r="Z9" i="11" s="1"/>
  <c r="Q9" i="11"/>
  <c r="AI9" i="11" l="1"/>
  <c r="AJ9" i="11" s="1"/>
  <c r="AS9" i="11"/>
  <c r="AF9" i="11"/>
  <c r="AC9" i="11"/>
  <c r="AT9" i="11"/>
  <c r="AA9" i="11"/>
  <c r="B10" i="11" l="1"/>
  <c r="F10" i="11"/>
  <c r="AD9" i="11"/>
  <c r="AV9" i="11"/>
  <c r="H10" i="11"/>
  <c r="AG9" i="11"/>
  <c r="AZ9" i="11" l="1"/>
  <c r="AY9" i="11"/>
  <c r="J10" i="11"/>
  <c r="K10" i="11" l="1"/>
  <c r="L10" i="11" s="1"/>
  <c r="G10" i="11"/>
  <c r="I10" i="11"/>
  <c r="E10" i="11"/>
  <c r="C10" i="11"/>
  <c r="O10" i="11"/>
  <c r="P10" i="11" s="1"/>
  <c r="Q10" i="11" l="1"/>
  <c r="X10" i="11"/>
  <c r="Y10" i="11" s="1"/>
  <c r="Z10" i="11" s="1"/>
  <c r="AI10" i="11" l="1"/>
  <c r="AJ10" i="11" s="1"/>
  <c r="AS10" i="11"/>
  <c r="AF10" i="11"/>
  <c r="AC10" i="11"/>
  <c r="AA10" i="11"/>
  <c r="AT10" i="11"/>
  <c r="B11" i="11" l="1"/>
  <c r="F11" i="11"/>
  <c r="AD10" i="11"/>
  <c r="AV10" i="11"/>
  <c r="H11" i="11"/>
  <c r="AG10" i="11"/>
  <c r="AZ10" i="11" l="1"/>
  <c r="AY10" i="11"/>
  <c r="J11" i="11"/>
  <c r="I11" i="11" l="1"/>
  <c r="G11" i="11"/>
  <c r="E11" i="11"/>
  <c r="C11" i="11"/>
  <c r="O11" i="11"/>
  <c r="P11" i="11" s="1"/>
  <c r="K11" i="11"/>
  <c r="L11" i="11" s="1"/>
  <c r="X11" i="11" l="1"/>
  <c r="Y11" i="11" s="1"/>
  <c r="Z11" i="11" s="1"/>
  <c r="Q11" i="11"/>
  <c r="AI11" i="11" l="1"/>
  <c r="AJ11" i="11" s="1"/>
  <c r="AS11" i="11"/>
  <c r="AF11" i="11"/>
  <c r="AC11" i="11"/>
  <c r="AT11" i="11"/>
  <c r="AA11" i="11"/>
  <c r="B12" i="11" l="1"/>
  <c r="F12" i="11"/>
  <c r="AD11" i="11"/>
  <c r="AV11" i="11"/>
  <c r="AG11" i="11"/>
  <c r="H12" i="11"/>
  <c r="AZ11" i="11" l="1"/>
  <c r="AY11" i="11"/>
  <c r="J12" i="11"/>
  <c r="G12" i="11" l="1"/>
  <c r="K12" i="11"/>
  <c r="L12" i="11" s="1"/>
  <c r="I12" i="11"/>
  <c r="E12" i="11"/>
  <c r="C12" i="11"/>
  <c r="O12" i="11"/>
  <c r="P12" i="11" s="1"/>
  <c r="Q12" i="11" l="1"/>
  <c r="X12" i="11"/>
  <c r="Y12" i="11" s="1"/>
  <c r="Z12" i="11" s="1"/>
  <c r="AI12" i="11" l="1"/>
  <c r="AJ12" i="11" s="1"/>
  <c r="AS12" i="11"/>
  <c r="AF12" i="11"/>
  <c r="AC12" i="11"/>
  <c r="AA12" i="11"/>
  <c r="AT12" i="11"/>
  <c r="B13" i="11" l="1"/>
  <c r="F13" i="11"/>
  <c r="AV12" i="11"/>
  <c r="AD12" i="11"/>
  <c r="H13" i="11"/>
  <c r="AG12" i="11"/>
  <c r="J13" i="11" l="1"/>
  <c r="AZ12" i="11"/>
  <c r="AY12" i="11"/>
  <c r="I13" i="11" l="1"/>
  <c r="G13" i="11"/>
  <c r="E13" i="11"/>
  <c r="C13" i="11"/>
  <c r="O13" i="11"/>
  <c r="P13" i="11" s="1"/>
  <c r="K13" i="11"/>
  <c r="L13" i="11" s="1"/>
  <c r="X13" i="11" l="1"/>
  <c r="Y13" i="11" s="1"/>
  <c r="Z13" i="11" s="1"/>
  <c r="Q13" i="11"/>
  <c r="AI13" i="11" l="1"/>
  <c r="AJ13" i="11" s="1"/>
  <c r="AS13" i="11"/>
  <c r="AF13" i="11"/>
  <c r="AC13" i="11"/>
  <c r="AT13" i="11"/>
  <c r="AA13" i="11"/>
  <c r="B14" i="11" l="1"/>
  <c r="F14" i="11"/>
  <c r="AD13" i="11"/>
  <c r="AV13" i="11"/>
  <c r="AG13" i="11"/>
  <c r="H14" i="11"/>
  <c r="AZ13" i="11" l="1"/>
  <c r="AY13" i="11"/>
  <c r="J14" i="11"/>
  <c r="G14" i="11" l="1"/>
  <c r="K14" i="11"/>
  <c r="L14" i="11" s="1"/>
  <c r="I14" i="11"/>
  <c r="E14" i="11"/>
  <c r="C14" i="11"/>
  <c r="O14" i="11"/>
  <c r="P14" i="11" s="1"/>
  <c r="Q14" i="11" l="1"/>
  <c r="X14" i="11"/>
  <c r="Y14" i="11" s="1"/>
  <c r="Z14" i="11" s="1"/>
  <c r="AI14" i="11" l="1"/>
  <c r="AJ14" i="11" s="1"/>
  <c r="AS14" i="11"/>
  <c r="AF14" i="11"/>
  <c r="AC14" i="11"/>
  <c r="AA14" i="11"/>
  <c r="AT14" i="11"/>
  <c r="B15" i="11" l="1"/>
  <c r="F15" i="11"/>
  <c r="AD14" i="11"/>
  <c r="AV14" i="11"/>
  <c r="AG14" i="11"/>
  <c r="H15" i="11"/>
  <c r="AZ14" i="11" l="1"/>
  <c r="AY14" i="11"/>
  <c r="J15" i="11"/>
  <c r="I15" i="11" l="1"/>
  <c r="G15" i="11"/>
  <c r="E15" i="11"/>
  <c r="C15" i="11"/>
  <c r="O15" i="11"/>
  <c r="P15" i="11" s="1"/>
  <c r="K15" i="11"/>
  <c r="L15" i="11" s="1"/>
  <c r="X15" i="11" l="1"/>
  <c r="Y15" i="11" s="1"/>
  <c r="Z15" i="11" s="1"/>
  <c r="Q15" i="11"/>
  <c r="AI15" i="11" l="1"/>
  <c r="AJ15" i="11" s="1"/>
  <c r="AS15" i="11"/>
  <c r="AF15" i="11"/>
  <c r="AC15" i="11"/>
  <c r="AT15" i="11"/>
  <c r="AA15" i="11"/>
  <c r="B16" i="11" l="1"/>
  <c r="F16" i="11"/>
  <c r="AD15" i="11"/>
  <c r="AV15" i="11"/>
  <c r="AG15" i="11"/>
  <c r="H16" i="11"/>
  <c r="AZ15" i="11" l="1"/>
  <c r="AY15" i="11"/>
  <c r="J16" i="11"/>
  <c r="O16" i="11" l="1"/>
  <c r="P16" i="11" s="1"/>
  <c r="G16" i="11"/>
  <c r="K16" i="11"/>
  <c r="L16" i="11" s="1"/>
  <c r="I16" i="11"/>
  <c r="E16" i="11"/>
  <c r="C16" i="11"/>
  <c r="Q16" i="11" l="1"/>
  <c r="X16" i="11"/>
  <c r="Y16" i="11" s="1"/>
  <c r="Z16" i="11" s="1"/>
  <c r="AI16" i="11" l="1"/>
  <c r="AJ16" i="11" s="1"/>
  <c r="AS16" i="11"/>
  <c r="AF16" i="11"/>
  <c r="AC16" i="11"/>
  <c r="AA16" i="11"/>
  <c r="AT16" i="11"/>
  <c r="B17" i="11" l="1"/>
  <c r="F17" i="11"/>
  <c r="AD16" i="11"/>
  <c r="AV16" i="11"/>
  <c r="H17" i="11"/>
  <c r="AG16" i="11"/>
  <c r="AZ16" i="11" l="1"/>
  <c r="AY16" i="11"/>
  <c r="J17" i="11"/>
  <c r="I17" i="11" l="1"/>
  <c r="G17" i="11"/>
  <c r="E17" i="11"/>
  <c r="C17" i="11"/>
  <c r="O17" i="11"/>
  <c r="P17" i="11" s="1"/>
  <c r="K17" i="11"/>
  <c r="L17" i="11" s="1"/>
  <c r="X17" i="11" l="1"/>
  <c r="Y17" i="11" s="1"/>
  <c r="Z17" i="11" s="1"/>
  <c r="Q17" i="11"/>
  <c r="AI17" i="11" l="1"/>
  <c r="AJ17" i="11" s="1"/>
  <c r="AS17" i="11"/>
  <c r="AF17" i="11"/>
  <c r="AC17" i="11"/>
  <c r="AT17" i="11"/>
  <c r="AA17" i="11"/>
  <c r="B18" i="11" l="1"/>
  <c r="F18" i="11"/>
  <c r="AD17" i="11"/>
  <c r="AV17" i="11"/>
  <c r="H18" i="11"/>
  <c r="AG17" i="11"/>
  <c r="J18" i="11" l="1"/>
  <c r="AZ17" i="11"/>
  <c r="AY17" i="11"/>
  <c r="O18" i="11" l="1"/>
  <c r="P18" i="11" s="1"/>
  <c r="G18" i="11"/>
  <c r="K18" i="11"/>
  <c r="L18" i="11" s="1"/>
  <c r="I18" i="11"/>
  <c r="E18" i="11"/>
  <c r="C18" i="11"/>
  <c r="Q18" i="11" l="1"/>
  <c r="X18" i="11"/>
  <c r="Y18" i="11" s="1"/>
  <c r="Z18" i="11" s="1"/>
  <c r="AI18" i="11" l="1"/>
  <c r="AJ18" i="11" s="1"/>
  <c r="AS18" i="11"/>
  <c r="AF18" i="11"/>
  <c r="AC18" i="11"/>
  <c r="AA18" i="11"/>
  <c r="AT18" i="11"/>
  <c r="B19" i="11" l="1"/>
  <c r="F19" i="11"/>
  <c r="AD18" i="11"/>
  <c r="AV18" i="11"/>
  <c r="AG18" i="11"/>
  <c r="H19" i="11"/>
  <c r="AZ18" i="11" l="1"/>
  <c r="AY18" i="11"/>
  <c r="J19" i="11"/>
  <c r="I19" i="11" l="1"/>
  <c r="G19" i="11"/>
  <c r="E19" i="11"/>
  <c r="C19" i="11"/>
  <c r="O19" i="11"/>
  <c r="P19" i="11" s="1"/>
  <c r="K19" i="11"/>
  <c r="L19" i="11" s="1"/>
  <c r="X19" i="11" l="1"/>
  <c r="Y19" i="11" s="1"/>
  <c r="Z19" i="11" s="1"/>
  <c r="Q19" i="11"/>
  <c r="AI19" i="11" l="1"/>
  <c r="AJ19" i="11" s="1"/>
  <c r="AS19" i="11"/>
  <c r="AF19" i="11"/>
  <c r="AC19" i="11"/>
  <c r="AT19" i="11"/>
  <c r="AA19" i="11"/>
  <c r="B20" i="11" l="1"/>
  <c r="F20" i="11"/>
  <c r="AD19" i="11"/>
  <c r="AV19" i="11"/>
  <c r="AG19" i="11"/>
  <c r="H20" i="11"/>
  <c r="AZ19" i="11" l="1"/>
  <c r="AY19" i="11"/>
  <c r="J20" i="11"/>
  <c r="O20" i="11" l="1"/>
  <c r="P20" i="11" s="1"/>
  <c r="G20" i="11"/>
  <c r="K20" i="11"/>
  <c r="L20" i="11" s="1"/>
  <c r="I20" i="11"/>
  <c r="E20" i="11"/>
  <c r="C20" i="11"/>
  <c r="Q20" i="11" l="1"/>
  <c r="X20" i="11"/>
  <c r="Y20" i="11" s="1"/>
  <c r="Z20" i="11" s="1"/>
  <c r="AI20" i="11" l="1"/>
  <c r="AJ20" i="11" s="1"/>
  <c r="AS20" i="11"/>
  <c r="AF20" i="11"/>
  <c r="AC20" i="11"/>
  <c r="AA20" i="11"/>
  <c r="AT20" i="11"/>
  <c r="B21" i="11" l="1"/>
  <c r="F21" i="11"/>
  <c r="AD20" i="11"/>
  <c r="AV20" i="11"/>
  <c r="AG20" i="11"/>
  <c r="H21" i="11"/>
  <c r="AZ20" i="11" l="1"/>
  <c r="AY20" i="11"/>
  <c r="J21" i="11"/>
  <c r="I21" i="11" l="1"/>
  <c r="G21" i="11"/>
  <c r="E21" i="11"/>
  <c r="C21" i="11"/>
  <c r="O21" i="11"/>
  <c r="P21" i="11" s="1"/>
  <c r="K21" i="11"/>
  <c r="L21" i="11" s="1"/>
  <c r="X21" i="11" l="1"/>
  <c r="Y21" i="11" s="1"/>
  <c r="Z21" i="11" s="1"/>
  <c r="Q21" i="11"/>
  <c r="AI21" i="11" l="1"/>
  <c r="AJ21" i="11" s="1"/>
  <c r="AS21" i="11"/>
  <c r="AF21" i="11"/>
  <c r="AC21" i="11"/>
  <c r="AA21" i="11"/>
  <c r="AT21" i="11"/>
  <c r="B22" i="11" l="1"/>
  <c r="F22" i="11"/>
  <c r="AV21" i="11"/>
  <c r="AD21" i="11"/>
  <c r="AG21" i="11"/>
  <c r="H22" i="11"/>
  <c r="J22" i="11" l="1"/>
  <c r="AZ21" i="11"/>
  <c r="AY21" i="11"/>
  <c r="O22" i="11" l="1"/>
  <c r="P22" i="11" s="1"/>
  <c r="G22" i="11"/>
  <c r="K22" i="11"/>
  <c r="L22" i="11" s="1"/>
  <c r="I22" i="11"/>
  <c r="E22" i="11"/>
  <c r="C22" i="11"/>
  <c r="Q22" i="11" l="1"/>
  <c r="X22" i="11"/>
  <c r="Y22" i="11" s="1"/>
  <c r="Z22" i="11" s="1"/>
  <c r="AI22" i="11" l="1"/>
  <c r="AJ22" i="11" s="1"/>
  <c r="AS22" i="11"/>
  <c r="AF22" i="11"/>
  <c r="AC22" i="11"/>
  <c r="AA22" i="11"/>
  <c r="AT22" i="11"/>
  <c r="B23" i="11" l="1"/>
  <c r="F23" i="11"/>
  <c r="AD22" i="11"/>
  <c r="AV22" i="11"/>
  <c r="AG22" i="11"/>
  <c r="H23" i="11"/>
  <c r="AZ22" i="11" l="1"/>
  <c r="AY22" i="11"/>
  <c r="J23" i="11"/>
  <c r="I23" i="11" l="1"/>
  <c r="G23" i="11"/>
  <c r="E23" i="11"/>
  <c r="C23" i="11"/>
  <c r="O23" i="11"/>
  <c r="P23" i="11" s="1"/>
  <c r="K23" i="11"/>
  <c r="L23" i="11" s="1"/>
  <c r="X23" i="11" l="1"/>
  <c r="Y23" i="11" s="1"/>
  <c r="Z23" i="11" s="1"/>
  <c r="Q23" i="11"/>
  <c r="AI23" i="11" l="1"/>
  <c r="AJ23" i="11" s="1"/>
  <c r="AS23" i="11"/>
  <c r="AF23" i="11"/>
  <c r="AC23" i="11"/>
  <c r="AA23" i="11"/>
  <c r="AT23" i="11"/>
  <c r="B24" i="11" l="1"/>
  <c r="F24" i="11"/>
  <c r="AD23" i="11"/>
  <c r="AV23" i="11"/>
  <c r="H24" i="11"/>
  <c r="AG23" i="11"/>
  <c r="AZ23" i="11" l="1"/>
  <c r="AY23" i="11"/>
  <c r="J24" i="11"/>
  <c r="O24" i="11" l="1"/>
  <c r="P24" i="11" s="1"/>
  <c r="K24" i="11"/>
  <c r="L24" i="11" s="1"/>
  <c r="G24" i="11"/>
  <c r="I24" i="11"/>
  <c r="E24" i="11"/>
  <c r="C24" i="11"/>
  <c r="Q24" i="11" l="1"/>
  <c r="X24" i="11"/>
  <c r="Y24" i="11" s="1"/>
  <c r="Z24" i="11" s="1"/>
  <c r="AI24" i="11" l="1"/>
  <c r="AJ24" i="11" s="1"/>
  <c r="AS24" i="11"/>
  <c r="AF24" i="11"/>
  <c r="AC24" i="11"/>
  <c r="AA24" i="11"/>
  <c r="AT24" i="11"/>
  <c r="B25" i="11" l="1"/>
  <c r="F25" i="11"/>
  <c r="AD24" i="11"/>
  <c r="AV24" i="11"/>
  <c r="H25" i="11"/>
  <c r="AG24" i="11"/>
  <c r="J25" i="11" l="1"/>
  <c r="AZ24" i="11"/>
  <c r="AY24" i="11"/>
  <c r="I25" i="11" l="1"/>
  <c r="G25" i="11"/>
  <c r="E25" i="11"/>
  <c r="C25" i="11"/>
  <c r="O25" i="11"/>
  <c r="P25" i="11" s="1"/>
  <c r="K25" i="11"/>
  <c r="L25" i="11" s="1"/>
  <c r="X25" i="11" l="1"/>
  <c r="Y25" i="11" s="1"/>
  <c r="Z25" i="11" s="1"/>
  <c r="Q25" i="11"/>
  <c r="AI25" i="11" l="1"/>
  <c r="AJ25" i="11" s="1"/>
  <c r="AS25" i="11"/>
  <c r="AF25" i="11"/>
  <c r="AC25" i="11"/>
  <c r="AT25" i="11"/>
  <c r="AA25" i="11"/>
  <c r="B26" i="11" l="1"/>
  <c r="F26" i="11"/>
  <c r="AV25" i="11"/>
  <c r="AD25" i="11"/>
  <c r="AG25" i="11"/>
  <c r="H26" i="11"/>
  <c r="J26" i="11" l="1"/>
  <c r="AZ25" i="11"/>
  <c r="AY25" i="11"/>
  <c r="O26" i="11" l="1"/>
  <c r="P26" i="11" s="1"/>
  <c r="K26" i="11"/>
  <c r="L26" i="11" s="1"/>
  <c r="I26" i="11"/>
  <c r="G26" i="11"/>
  <c r="E26" i="11"/>
  <c r="C26" i="11"/>
  <c r="Q26" i="11" l="1"/>
  <c r="X26" i="11"/>
  <c r="Y26" i="11" s="1"/>
  <c r="Z26" i="11" s="1"/>
  <c r="AI26" i="11" l="1"/>
  <c r="AJ26" i="11" s="1"/>
  <c r="AS26" i="11"/>
  <c r="AF26" i="11"/>
  <c r="AC26" i="11"/>
  <c r="AT26" i="11"/>
  <c r="AA26" i="11"/>
  <c r="B27" i="11" l="1"/>
  <c r="F27" i="11"/>
  <c r="AD26" i="11"/>
  <c r="AV26" i="11"/>
  <c r="AG26" i="11"/>
  <c r="H27" i="11"/>
  <c r="AZ26" i="11" l="1"/>
  <c r="AY26" i="11"/>
  <c r="J27" i="11"/>
  <c r="I27" i="11" l="1"/>
  <c r="G27" i="11"/>
  <c r="E27" i="11"/>
  <c r="C27" i="11"/>
  <c r="O27" i="11"/>
  <c r="P27" i="11" s="1"/>
  <c r="K27" i="11"/>
  <c r="L27" i="11" s="1"/>
  <c r="X27" i="11" l="1"/>
  <c r="Y27" i="11" s="1"/>
  <c r="Z27" i="11" s="1"/>
  <c r="Q27" i="11"/>
  <c r="AI27" i="11" l="1"/>
  <c r="AJ27" i="11" s="1"/>
  <c r="AS27" i="11"/>
  <c r="AF27" i="11"/>
  <c r="AC27" i="11"/>
  <c r="AA27" i="11"/>
  <c r="AT27" i="11"/>
  <c r="B28" i="11" l="1"/>
  <c r="B2" i="10" s="1"/>
  <c r="F28" i="11"/>
  <c r="F2" i="10" s="1"/>
  <c r="AD27" i="11"/>
  <c r="AV27" i="11"/>
  <c r="AG27" i="11"/>
  <c r="H28" i="11"/>
  <c r="H2" i="10" s="1"/>
  <c r="J2" i="10" l="1"/>
  <c r="AZ27" i="11"/>
  <c r="AY27" i="11"/>
  <c r="J28" i="11"/>
  <c r="I2" i="10" l="1"/>
  <c r="G2" i="10"/>
  <c r="C2" i="10"/>
  <c r="E2" i="10"/>
  <c r="O28" i="11"/>
  <c r="P28" i="11" s="1"/>
  <c r="G28" i="11"/>
  <c r="K28" i="11"/>
  <c r="L28" i="11" s="1"/>
  <c r="I28" i="11"/>
  <c r="E28" i="11"/>
  <c r="C28" i="11"/>
  <c r="Q28" i="11" l="1"/>
  <c r="X28" i="11"/>
  <c r="Y28" i="11" s="1"/>
  <c r="Z28" i="11" l="1"/>
  <c r="Y29" i="11"/>
  <c r="O2" i="10" s="1"/>
  <c r="AI28" i="11" l="1"/>
  <c r="AS28" i="11"/>
  <c r="AS29" i="11" s="1"/>
  <c r="AI29" i="11"/>
  <c r="AJ28" i="11"/>
  <c r="X2" i="10"/>
  <c r="Y2" i="10" s="1"/>
  <c r="P2" i="10"/>
  <c r="AF28" i="11"/>
  <c r="AC28" i="11"/>
  <c r="Z29" i="11"/>
  <c r="AT28" i="11"/>
  <c r="AV28" i="11" s="1"/>
  <c r="AA28" i="11"/>
  <c r="U3" i="10" l="1"/>
  <c r="U6" i="10"/>
  <c r="U4" i="10"/>
  <c r="S3" i="10"/>
  <c r="S4" i="10"/>
  <c r="S5" i="10"/>
  <c r="U5" i="10"/>
  <c r="U8" i="10"/>
  <c r="U7" i="10"/>
  <c r="S2" i="10"/>
  <c r="U2" i="10"/>
  <c r="S6" i="10"/>
  <c r="U9" i="10"/>
  <c r="S7" i="10"/>
  <c r="U10" i="10"/>
  <c r="S8" i="10"/>
  <c r="S9" i="10"/>
  <c r="U11" i="10"/>
  <c r="S10" i="10"/>
  <c r="U12" i="10"/>
  <c r="U13" i="10"/>
  <c r="S11" i="10"/>
  <c r="U14" i="10"/>
  <c r="S12" i="10"/>
  <c r="S13" i="10"/>
  <c r="U15" i="10"/>
  <c r="U16" i="10"/>
  <c r="S14" i="10"/>
  <c r="S15" i="10"/>
  <c r="U17" i="10"/>
  <c r="S16" i="10"/>
  <c r="U18" i="10"/>
  <c r="S17" i="10"/>
  <c r="U19" i="10"/>
  <c r="U20" i="10"/>
  <c r="S18" i="10"/>
  <c r="U21" i="10"/>
  <c r="S19" i="10"/>
  <c r="S20" i="10"/>
  <c r="U22" i="10"/>
  <c r="U23" i="10"/>
  <c r="S21" i="10"/>
  <c r="S22" i="10"/>
  <c r="U24" i="10"/>
  <c r="U25" i="10"/>
  <c r="S23" i="10"/>
  <c r="S24" i="10"/>
  <c r="U26" i="10"/>
  <c r="S25" i="10"/>
  <c r="U27" i="10"/>
  <c r="U28" i="10"/>
  <c r="S26" i="10"/>
  <c r="S27" i="10"/>
  <c r="S28" i="10"/>
  <c r="Z2" i="10"/>
  <c r="AZ28" i="11"/>
  <c r="AY28" i="11"/>
  <c r="AC29" i="11"/>
  <c r="AD28" i="11"/>
  <c r="AF29" i="11"/>
  <c r="AG28" i="11"/>
  <c r="AI2" i="10" l="1"/>
  <c r="AS2" i="10"/>
  <c r="AF2" i="10"/>
  <c r="H3" i="10" s="1"/>
  <c r="AC2" i="10"/>
  <c r="AA2" i="10"/>
  <c r="AT2" i="10"/>
  <c r="AJ2" i="10" l="1"/>
  <c r="B3" i="10"/>
  <c r="F3" i="10"/>
  <c r="AV2" i="10"/>
  <c r="AD2" i="10"/>
  <c r="AG2" i="10"/>
  <c r="J3" i="10" l="1"/>
  <c r="AY2" i="10"/>
  <c r="AZ2" i="10"/>
  <c r="G3" i="10" l="1"/>
  <c r="E3" i="10"/>
  <c r="C3" i="10"/>
  <c r="I3" i="10"/>
  <c r="O3" i="10"/>
  <c r="P3" i="10" s="1"/>
  <c r="K3" i="10"/>
  <c r="L3" i="10" s="1"/>
  <c r="X3" i="10" l="1"/>
  <c r="Y3" i="10" s="1"/>
  <c r="Q3" i="10"/>
  <c r="Z3" i="10" l="1"/>
  <c r="AI3" i="10" l="1"/>
  <c r="AS3" i="10"/>
  <c r="AC3" i="10"/>
  <c r="AF3" i="10"/>
  <c r="AA3" i="10"/>
  <c r="AT3" i="10"/>
  <c r="AJ3" i="10" l="1"/>
  <c r="B4" i="10"/>
  <c r="F4" i="10"/>
  <c r="AV3" i="10"/>
  <c r="H4" i="10"/>
  <c r="AG3" i="10"/>
  <c r="AD3" i="10"/>
  <c r="J4" i="10" l="1"/>
  <c r="AY3" i="10"/>
  <c r="AZ3" i="10"/>
  <c r="O4" i="10" l="1"/>
  <c r="P4" i="10" s="1"/>
  <c r="C4" i="10"/>
  <c r="E4" i="10"/>
  <c r="K4" i="10"/>
  <c r="L4" i="10" s="1"/>
  <c r="I4" i="10"/>
  <c r="G4" i="10"/>
  <c r="Q4" i="10" l="1"/>
  <c r="X4" i="10"/>
  <c r="Y4" i="10" s="1"/>
  <c r="Z4" i="10" l="1"/>
  <c r="AI4" i="10" l="1"/>
  <c r="AS4" i="10"/>
  <c r="AC4" i="10"/>
  <c r="AF4" i="10"/>
  <c r="AT4" i="10"/>
  <c r="AA4" i="10"/>
  <c r="AJ4" i="10" l="1"/>
  <c r="B5" i="10"/>
  <c r="F5" i="10"/>
  <c r="AV4" i="10"/>
  <c r="AG4" i="10"/>
  <c r="H5" i="10"/>
  <c r="AD4" i="10"/>
  <c r="J5" i="10" l="1"/>
  <c r="AZ4" i="10"/>
  <c r="AY4" i="10"/>
  <c r="G5" i="10" l="1"/>
  <c r="C5" i="10"/>
  <c r="E5" i="10"/>
  <c r="O5" i="10"/>
  <c r="P5" i="10" s="1"/>
  <c r="K5" i="10"/>
  <c r="L5" i="10" s="1"/>
  <c r="I5" i="10"/>
  <c r="X5" i="10" l="1"/>
  <c r="Y5" i="10" s="1"/>
  <c r="Q5" i="10"/>
  <c r="Z5" i="10" l="1"/>
  <c r="AI5" i="10" l="1"/>
  <c r="AS5" i="10"/>
  <c r="AF5" i="10"/>
  <c r="AC5" i="10"/>
  <c r="AT5" i="10"/>
  <c r="AA5" i="10"/>
  <c r="AJ5" i="10" l="1"/>
  <c r="B6" i="10"/>
  <c r="F6" i="10"/>
  <c r="AV5" i="10"/>
  <c r="AD5" i="10"/>
  <c r="H6" i="10"/>
  <c r="AG5" i="10"/>
  <c r="J6" i="10" l="1"/>
  <c r="AY5" i="10"/>
  <c r="AZ5" i="10"/>
  <c r="E6" i="10" l="1"/>
  <c r="C6" i="10"/>
  <c r="K6" i="10"/>
  <c r="L6" i="10" s="1"/>
  <c r="I6" i="10"/>
  <c r="O6" i="10"/>
  <c r="P6" i="10" s="1"/>
  <c r="G6" i="10"/>
  <c r="Q6" i="10" l="1"/>
  <c r="X6" i="10"/>
  <c r="Y6" i="10" s="1"/>
  <c r="Z6" i="10" l="1"/>
  <c r="AI6" i="10" l="1"/>
  <c r="AS6" i="10"/>
  <c r="AC6" i="10"/>
  <c r="AF6" i="10"/>
  <c r="AA6" i="10"/>
  <c r="AT6" i="10"/>
  <c r="AJ6" i="10" l="1"/>
  <c r="B7" i="10"/>
  <c r="F7" i="10"/>
  <c r="AV6" i="10"/>
  <c r="H7" i="10"/>
  <c r="AG6" i="10"/>
  <c r="AD6" i="10"/>
  <c r="J7" i="10" l="1"/>
  <c r="AZ6" i="10"/>
  <c r="AY6" i="10"/>
  <c r="E7" i="10" l="1"/>
  <c r="O7" i="10"/>
  <c r="P7" i="10" s="1"/>
  <c r="G7" i="10"/>
  <c r="C7" i="10"/>
  <c r="K7" i="10"/>
  <c r="L7" i="10" s="1"/>
  <c r="I7" i="10"/>
  <c r="X7" i="10" l="1"/>
  <c r="Y7" i="10" s="1"/>
  <c r="Z7" i="10" s="1"/>
  <c r="Q7" i="10"/>
  <c r="AI7" i="10" l="1"/>
  <c r="AS7" i="10"/>
  <c r="AF7" i="10"/>
  <c r="AC7" i="10"/>
  <c r="AJ7" i="10" s="1"/>
  <c r="AT7" i="10"/>
  <c r="AA7" i="10"/>
  <c r="B8" i="10" l="1"/>
  <c r="F8" i="10"/>
  <c r="AV7" i="10"/>
  <c r="AD7" i="10"/>
  <c r="H8" i="10"/>
  <c r="AG7" i="10"/>
  <c r="J8" i="10" l="1"/>
  <c r="AZ7" i="10"/>
  <c r="AY7" i="10"/>
  <c r="K8" i="10" l="1"/>
  <c r="L8" i="10" s="1"/>
  <c r="O8" i="10"/>
  <c r="P8" i="10" s="1"/>
  <c r="I8" i="10"/>
  <c r="G8" i="10"/>
  <c r="C8" i="10"/>
  <c r="E8" i="10"/>
  <c r="Q8" i="10" l="1"/>
  <c r="X8" i="10"/>
  <c r="Y8" i="10" s="1"/>
  <c r="Z8" i="10" s="1"/>
  <c r="AI8" i="10" l="1"/>
  <c r="AS8" i="10"/>
  <c r="AF8" i="10"/>
  <c r="AC8" i="10"/>
  <c r="AJ8" i="10" s="1"/>
  <c r="AA8" i="10"/>
  <c r="AT8" i="10"/>
  <c r="B9" i="10" l="1"/>
  <c r="F9" i="10"/>
  <c r="AV8" i="10"/>
  <c r="AD8" i="10"/>
  <c r="AG8" i="10"/>
  <c r="H9" i="10"/>
  <c r="J9" i="10" l="1"/>
  <c r="AZ8" i="10"/>
  <c r="AY8" i="10"/>
  <c r="C9" i="10" l="1"/>
  <c r="O9" i="10"/>
  <c r="P9" i="10" s="1"/>
  <c r="G9" i="10"/>
  <c r="I9" i="10"/>
  <c r="K9" i="10"/>
  <c r="L9" i="10" s="1"/>
  <c r="E9" i="10"/>
  <c r="Q9" i="10" l="1"/>
  <c r="X9" i="10"/>
  <c r="Y9" i="10" s="1"/>
  <c r="Z9" i="10" s="1"/>
  <c r="AI9" i="10" l="1"/>
  <c r="AS9" i="10"/>
  <c r="AC9" i="10"/>
  <c r="AJ9" i="10" s="1"/>
  <c r="AF9" i="10"/>
  <c r="AT9" i="10"/>
  <c r="AA9" i="10"/>
  <c r="B10" i="10" l="1"/>
  <c r="F10" i="10"/>
  <c r="AV9" i="10"/>
  <c r="AG9" i="10"/>
  <c r="H10" i="10"/>
  <c r="AD9" i="10"/>
  <c r="J10" i="10" l="1"/>
  <c r="AZ9" i="10"/>
  <c r="AY9" i="10"/>
  <c r="O10" i="10" l="1"/>
  <c r="P10" i="10" s="1"/>
  <c r="K10" i="10"/>
  <c r="L10" i="10" s="1"/>
  <c r="E10" i="10"/>
  <c r="G10" i="10"/>
  <c r="I10" i="10"/>
  <c r="C10" i="10"/>
  <c r="Q10" i="10" l="1"/>
  <c r="X10" i="10"/>
  <c r="Y10" i="10" s="1"/>
  <c r="Z10" i="10" s="1"/>
  <c r="AI10" i="10" l="1"/>
  <c r="AS10" i="10"/>
  <c r="AC10" i="10"/>
  <c r="AJ10" i="10" s="1"/>
  <c r="AF10" i="10"/>
  <c r="AA10" i="10"/>
  <c r="AT10" i="10"/>
  <c r="B11" i="10" l="1"/>
  <c r="F11" i="10"/>
  <c r="AV10" i="10"/>
  <c r="H11" i="10"/>
  <c r="AG10" i="10"/>
  <c r="AD10" i="10"/>
  <c r="J11" i="10" l="1"/>
  <c r="AZ10" i="10"/>
  <c r="AY10" i="10"/>
  <c r="G11" i="10" l="1"/>
  <c r="O11" i="10"/>
  <c r="P11" i="10" s="1"/>
  <c r="C11" i="10"/>
  <c r="K11" i="10"/>
  <c r="L11" i="10" s="1"/>
  <c r="I11" i="10"/>
  <c r="E11" i="10"/>
  <c r="Q11" i="10" l="1"/>
  <c r="X11" i="10"/>
  <c r="Y11" i="10" s="1"/>
  <c r="Z11" i="10" s="1"/>
  <c r="AI11" i="10" l="1"/>
  <c r="AS11" i="10"/>
  <c r="AF11" i="10"/>
  <c r="AC11" i="10"/>
  <c r="AJ11" i="10" s="1"/>
  <c r="AT11" i="10"/>
  <c r="AA11" i="10"/>
  <c r="B12" i="10" l="1"/>
  <c r="F12" i="10"/>
  <c r="AV11" i="10"/>
  <c r="AD11" i="10"/>
  <c r="H12" i="10"/>
  <c r="AG11" i="10"/>
  <c r="J12" i="10" l="1"/>
  <c r="AZ11" i="10"/>
  <c r="AY11" i="10"/>
  <c r="I12" i="10" l="1"/>
  <c r="C12" i="10"/>
  <c r="E12" i="10"/>
  <c r="G12" i="10"/>
  <c r="K12" i="10"/>
  <c r="L12" i="10" s="1"/>
  <c r="O12" i="10"/>
  <c r="P12" i="10" s="1"/>
  <c r="X12" i="10" l="1"/>
  <c r="Y12" i="10" s="1"/>
  <c r="Z12" i="10" s="1"/>
  <c r="Q12" i="10"/>
  <c r="AI12" i="10" l="1"/>
  <c r="AS12" i="10"/>
  <c r="AC12" i="10"/>
  <c r="AJ12" i="10" s="1"/>
  <c r="AF12" i="10"/>
  <c r="AA12" i="10"/>
  <c r="AT12" i="10"/>
  <c r="B13" i="10" l="1"/>
  <c r="F13" i="10"/>
  <c r="AV12" i="10"/>
  <c r="AG12" i="10"/>
  <c r="H13" i="10"/>
  <c r="AD12" i="10"/>
  <c r="J13" i="10" l="1"/>
  <c r="AZ12" i="10"/>
  <c r="AY12" i="10"/>
  <c r="G13" i="10" l="1"/>
  <c r="O13" i="10"/>
  <c r="P13" i="10" s="1"/>
  <c r="I13" i="10"/>
  <c r="E13" i="10"/>
  <c r="K13" i="10"/>
  <c r="L13" i="10" s="1"/>
  <c r="C13" i="10"/>
  <c r="Q13" i="10" l="1"/>
  <c r="X13" i="10"/>
  <c r="Y13" i="10" s="1"/>
  <c r="Z13" i="10" s="1"/>
  <c r="AI13" i="10" l="1"/>
  <c r="AS13" i="10"/>
  <c r="AF13" i="10"/>
  <c r="AC13" i="10"/>
  <c r="AJ13" i="10" s="1"/>
  <c r="AA13" i="10"/>
  <c r="AT13" i="10"/>
  <c r="B14" i="10" l="1"/>
  <c r="F14" i="10"/>
  <c r="AV13" i="10"/>
  <c r="AD13" i="10"/>
  <c r="H14" i="10"/>
  <c r="AG13" i="10"/>
  <c r="J14" i="10" l="1"/>
  <c r="AY13" i="10"/>
  <c r="AZ13" i="10"/>
  <c r="K14" i="10" l="1"/>
  <c r="L14" i="10" s="1"/>
  <c r="G14" i="10"/>
  <c r="O14" i="10"/>
  <c r="P14" i="10" s="1"/>
  <c r="E14" i="10"/>
  <c r="C14" i="10"/>
  <c r="I14" i="10"/>
  <c r="X14" i="10" l="1"/>
  <c r="Y14" i="10" s="1"/>
  <c r="Z14" i="10" s="1"/>
  <c r="Q14" i="10"/>
  <c r="AI14" i="10" l="1"/>
  <c r="AS14" i="10"/>
  <c r="AF14" i="10"/>
  <c r="AC14" i="10"/>
  <c r="AJ14" i="10" s="1"/>
  <c r="AT14" i="10"/>
  <c r="AA14" i="10"/>
  <c r="B15" i="10" l="1"/>
  <c r="F15" i="10"/>
  <c r="AV14" i="10"/>
  <c r="AD14" i="10"/>
  <c r="H15" i="10"/>
  <c r="AG14" i="10"/>
  <c r="J15" i="10" l="1"/>
  <c r="AZ14" i="10"/>
  <c r="AY14" i="10"/>
  <c r="O15" i="10" l="1"/>
  <c r="P15" i="10" s="1"/>
  <c r="E15" i="10"/>
  <c r="I15" i="10"/>
  <c r="G15" i="10"/>
  <c r="K15" i="10"/>
  <c r="L15" i="10" s="1"/>
  <c r="C15" i="10"/>
  <c r="Q15" i="10" l="1"/>
  <c r="X15" i="10"/>
  <c r="Y15" i="10" s="1"/>
  <c r="Z15" i="10" s="1"/>
  <c r="AI15" i="10" l="1"/>
  <c r="AS15" i="10"/>
  <c r="AC15" i="10"/>
  <c r="AJ15" i="10" s="1"/>
  <c r="AF15" i="10"/>
  <c r="AA15" i="10"/>
  <c r="AT15" i="10"/>
  <c r="B16" i="10" l="1"/>
  <c r="F16" i="10"/>
  <c r="AV15" i="10"/>
  <c r="AG15" i="10"/>
  <c r="H16" i="10"/>
  <c r="AD15" i="10"/>
  <c r="J16" i="10" l="1"/>
  <c r="AZ15" i="10"/>
  <c r="AY15" i="10"/>
  <c r="K16" i="10" l="1"/>
  <c r="L16" i="10" s="1"/>
  <c r="C16" i="10"/>
  <c r="I16" i="10"/>
  <c r="O16" i="10"/>
  <c r="P16" i="10" s="1"/>
  <c r="G16" i="10"/>
  <c r="E16" i="10"/>
  <c r="Q16" i="10" l="1"/>
  <c r="X16" i="10"/>
  <c r="Y16" i="10" s="1"/>
  <c r="Z16" i="10" s="1"/>
  <c r="AI16" i="10" l="1"/>
  <c r="AS16" i="10"/>
  <c r="AC16" i="10"/>
  <c r="AJ16" i="10" s="1"/>
  <c r="AF16" i="10"/>
  <c r="AT16" i="10"/>
  <c r="AA16" i="10"/>
  <c r="B17" i="10" l="1"/>
  <c r="F17" i="10"/>
  <c r="AV16" i="10"/>
  <c r="AG16" i="10"/>
  <c r="H17" i="10"/>
  <c r="AD16" i="10"/>
  <c r="AZ16" i="10" l="1"/>
  <c r="AY16" i="10"/>
  <c r="J17" i="10"/>
  <c r="G17" i="10" l="1"/>
  <c r="K17" i="10"/>
  <c r="L17" i="10" s="1"/>
  <c r="E17" i="10"/>
  <c r="C17" i="10"/>
  <c r="I17" i="10"/>
  <c r="O17" i="10"/>
  <c r="P17" i="10" s="1"/>
  <c r="Q17" i="10" l="1"/>
  <c r="X17" i="10"/>
  <c r="Y17" i="10" s="1"/>
  <c r="Z17" i="10" s="1"/>
  <c r="AI17" i="10" l="1"/>
  <c r="AS17" i="10"/>
  <c r="AF17" i="10"/>
  <c r="AC17" i="10"/>
  <c r="AJ17" i="10" s="1"/>
  <c r="AA17" i="10"/>
  <c r="AT17" i="10"/>
  <c r="B18" i="10" l="1"/>
  <c r="F18" i="10"/>
  <c r="AV17" i="10"/>
  <c r="AD17" i="10"/>
  <c r="H18" i="10"/>
  <c r="AG17" i="10"/>
  <c r="J18" i="10" l="1"/>
  <c r="AY17" i="10"/>
  <c r="AZ17" i="10"/>
  <c r="O18" i="10" l="1"/>
  <c r="P18" i="10" s="1"/>
  <c r="C18" i="10"/>
  <c r="K18" i="10"/>
  <c r="L18" i="10" s="1"/>
  <c r="E18" i="10"/>
  <c r="G18" i="10"/>
  <c r="I18" i="10"/>
  <c r="Q18" i="10" l="1"/>
  <c r="X18" i="10"/>
  <c r="Y18" i="10" s="1"/>
  <c r="Z18" i="10" s="1"/>
  <c r="AI18" i="10" l="1"/>
  <c r="AS18" i="10"/>
  <c r="AF18" i="10"/>
  <c r="AC18" i="10"/>
  <c r="AJ18" i="10" s="1"/>
  <c r="AT18" i="10"/>
  <c r="AA18" i="10"/>
  <c r="B19" i="10" l="1"/>
  <c r="F19" i="10"/>
  <c r="AV18" i="10"/>
  <c r="AD18" i="10"/>
  <c r="H19" i="10"/>
  <c r="AG18" i="10"/>
  <c r="J19" i="10" l="1"/>
  <c r="AZ18" i="10"/>
  <c r="AY18" i="10"/>
  <c r="I19" i="10" l="1"/>
  <c r="E19" i="10"/>
  <c r="C19" i="10"/>
  <c r="K19" i="10"/>
  <c r="L19" i="10" s="1"/>
  <c r="G19" i="10"/>
  <c r="O19" i="10"/>
  <c r="P19" i="10" s="1"/>
  <c r="Q19" i="10" l="1"/>
  <c r="X19" i="10"/>
  <c r="Y19" i="10" s="1"/>
  <c r="Z19" i="10" s="1"/>
  <c r="AI19" i="10" l="1"/>
  <c r="AS19" i="10"/>
  <c r="AC19" i="10"/>
  <c r="AJ19" i="10" s="1"/>
  <c r="AF19" i="10"/>
  <c r="AT19" i="10"/>
  <c r="AA19" i="10"/>
  <c r="B20" i="10" l="1"/>
  <c r="F20" i="10"/>
  <c r="AV19" i="10"/>
  <c r="AG19" i="10"/>
  <c r="H20" i="10"/>
  <c r="AD19" i="10"/>
  <c r="J20" i="10" l="1"/>
  <c r="AZ19" i="10"/>
  <c r="AY19" i="10"/>
  <c r="K20" i="10" l="1"/>
  <c r="L20" i="10" s="1"/>
  <c r="O20" i="10"/>
  <c r="P20" i="10" s="1"/>
  <c r="G20" i="10"/>
  <c r="E20" i="10"/>
  <c r="I20" i="10"/>
  <c r="C20" i="10"/>
  <c r="Q20" i="10" l="1"/>
  <c r="X20" i="10"/>
  <c r="Y20" i="10" s="1"/>
  <c r="Z20" i="10" s="1"/>
  <c r="AI20" i="10" l="1"/>
  <c r="AS20" i="10"/>
  <c r="AC20" i="10"/>
  <c r="AJ20" i="10" s="1"/>
  <c r="AF20" i="10"/>
  <c r="AT20" i="10"/>
  <c r="AA20" i="10"/>
  <c r="B21" i="10" l="1"/>
  <c r="F21" i="10"/>
  <c r="H21" i="10"/>
  <c r="AG20" i="10"/>
  <c r="AV20" i="10"/>
  <c r="AD20" i="10"/>
  <c r="J21" i="10" l="1"/>
  <c r="AZ20" i="10"/>
  <c r="AY20" i="10"/>
  <c r="C21" i="10" l="1"/>
  <c r="G21" i="10"/>
  <c r="K21" i="10"/>
  <c r="L21" i="10" s="1"/>
  <c r="I21" i="10"/>
  <c r="E21" i="10"/>
  <c r="O21" i="10"/>
  <c r="P21" i="10" s="1"/>
  <c r="Q21" i="10" l="1"/>
  <c r="X21" i="10"/>
  <c r="Y21" i="10" s="1"/>
  <c r="Z21" i="10" s="1"/>
  <c r="AI21" i="10" l="1"/>
  <c r="AS21" i="10"/>
  <c r="AC21" i="10"/>
  <c r="AJ21" i="10" s="1"/>
  <c r="AF21" i="10"/>
  <c r="AA21" i="10"/>
  <c r="AT21" i="10"/>
  <c r="B22" i="10" l="1"/>
  <c r="F22" i="10"/>
  <c r="AV21" i="10"/>
  <c r="AG21" i="10"/>
  <c r="H22" i="10"/>
  <c r="AD21" i="10"/>
  <c r="J22" i="10" l="1"/>
  <c r="AY21" i="10"/>
  <c r="AZ21" i="10"/>
  <c r="O22" i="10" l="1"/>
  <c r="P22" i="10" s="1"/>
  <c r="I22" i="10"/>
  <c r="E22" i="10"/>
  <c r="K22" i="10"/>
  <c r="L22" i="10" s="1"/>
  <c r="C22" i="10"/>
  <c r="G22" i="10"/>
  <c r="Q22" i="10" l="1"/>
  <c r="X22" i="10"/>
  <c r="Y22" i="10" s="1"/>
  <c r="Z22" i="10" s="1"/>
  <c r="AI22" i="10" l="1"/>
  <c r="AS22" i="10"/>
  <c r="AF22" i="10"/>
  <c r="AC22" i="10"/>
  <c r="AJ22" i="10" s="1"/>
  <c r="AT22" i="10"/>
  <c r="AA22" i="10"/>
  <c r="B23" i="10" l="1"/>
  <c r="F23" i="10"/>
  <c r="AV22" i="10"/>
  <c r="AD22" i="10"/>
  <c r="AG22" i="10"/>
  <c r="H23" i="10"/>
  <c r="AZ22" i="10" l="1"/>
  <c r="AY22" i="10"/>
  <c r="J23" i="10"/>
  <c r="G23" i="10" l="1"/>
  <c r="O23" i="10"/>
  <c r="P23" i="10" s="1"/>
  <c r="K23" i="10"/>
  <c r="L23" i="10" s="1"/>
  <c r="I23" i="10"/>
  <c r="C23" i="10"/>
  <c r="E23" i="10"/>
  <c r="Q23" i="10" l="1"/>
  <c r="X23" i="10"/>
  <c r="Y23" i="10" s="1"/>
  <c r="Z23" i="10" s="1"/>
  <c r="AI23" i="10" l="1"/>
  <c r="AS23" i="10"/>
  <c r="AC23" i="10"/>
  <c r="AJ23" i="10" s="1"/>
  <c r="AF23" i="10"/>
  <c r="AA23" i="10"/>
  <c r="AT23" i="10"/>
  <c r="B24" i="10" l="1"/>
  <c r="F24" i="10"/>
  <c r="AV23" i="10"/>
  <c r="AG23" i="10"/>
  <c r="H24" i="10"/>
  <c r="AD23" i="10"/>
  <c r="J24" i="10" l="1"/>
  <c r="AZ23" i="10"/>
  <c r="AY23" i="10"/>
  <c r="I24" i="10" l="1"/>
  <c r="G24" i="10"/>
  <c r="O24" i="10"/>
  <c r="P24" i="10" s="1"/>
  <c r="K24" i="10"/>
  <c r="L24" i="10" s="1"/>
  <c r="E24" i="10"/>
  <c r="C24" i="10"/>
  <c r="X24" i="10" l="1"/>
  <c r="Y24" i="10" s="1"/>
  <c r="Z24" i="10" s="1"/>
  <c r="Q24" i="10"/>
  <c r="AI24" i="10" l="1"/>
  <c r="AS24" i="10"/>
  <c r="AC24" i="10"/>
  <c r="AJ24" i="10" s="1"/>
  <c r="AF24" i="10"/>
  <c r="AT24" i="10"/>
  <c r="AA24" i="10"/>
  <c r="B25" i="10" l="1"/>
  <c r="F25" i="10"/>
  <c r="AV24" i="10"/>
  <c r="H25" i="10"/>
  <c r="AG24" i="10"/>
  <c r="AD24" i="10"/>
  <c r="J25" i="10" l="1"/>
  <c r="AZ24" i="10"/>
  <c r="AY24" i="10"/>
  <c r="E25" i="10" l="1"/>
  <c r="O25" i="10"/>
  <c r="P25" i="10" s="1"/>
  <c r="I25" i="10"/>
  <c r="C25" i="10"/>
  <c r="K25" i="10"/>
  <c r="L25" i="10" s="1"/>
  <c r="G25" i="10"/>
  <c r="Q25" i="10" l="1"/>
  <c r="X25" i="10"/>
  <c r="Y25" i="10" s="1"/>
  <c r="Z25" i="10" s="1"/>
  <c r="AI25" i="10" l="1"/>
  <c r="AS25" i="10"/>
  <c r="AF25" i="10"/>
  <c r="AC25" i="10"/>
  <c r="AA25" i="10"/>
  <c r="AT25" i="10"/>
  <c r="AJ25" i="10" l="1"/>
  <c r="B26" i="10"/>
  <c r="F26" i="10"/>
  <c r="AV25" i="10"/>
  <c r="AD25" i="10"/>
  <c r="AG25" i="10"/>
  <c r="H26" i="10"/>
  <c r="J26" i="10" l="1"/>
  <c r="AZ25" i="10"/>
  <c r="AY25" i="10"/>
  <c r="G26" i="10" l="1"/>
  <c r="O26" i="10"/>
  <c r="P26" i="10" s="1"/>
  <c r="E26" i="10"/>
  <c r="I26" i="10"/>
  <c r="C26" i="10"/>
  <c r="K26" i="10"/>
  <c r="L26" i="10" s="1"/>
  <c r="Q26" i="10" l="1"/>
  <c r="X26" i="10"/>
  <c r="Y26" i="10" s="1"/>
  <c r="Z26" i="10" s="1"/>
  <c r="AI26" i="10" l="1"/>
  <c r="AS26" i="10"/>
  <c r="AF26" i="10"/>
  <c r="AC26" i="10"/>
  <c r="AJ26" i="10" s="1"/>
  <c r="AA26" i="10"/>
  <c r="AT26" i="10"/>
  <c r="B27" i="10" l="1"/>
  <c r="F27" i="10"/>
  <c r="AV26" i="10"/>
  <c r="AD26" i="10"/>
  <c r="H27" i="10"/>
  <c r="AG26" i="10"/>
  <c r="J27" i="10" l="1"/>
  <c r="AZ26" i="10"/>
  <c r="AY26" i="10"/>
  <c r="I27" i="10" l="1"/>
  <c r="C27" i="10"/>
  <c r="K27" i="10"/>
  <c r="L27" i="10" s="1"/>
  <c r="G27" i="10"/>
  <c r="O27" i="10"/>
  <c r="P27" i="10" s="1"/>
  <c r="E27" i="10"/>
  <c r="X27" i="10" l="1"/>
  <c r="Y27" i="10" s="1"/>
  <c r="Z27" i="10" s="1"/>
  <c r="Q27" i="10"/>
  <c r="AI27" i="10" l="1"/>
  <c r="AS27" i="10"/>
  <c r="AF27" i="10"/>
  <c r="AC27" i="10"/>
  <c r="AJ27" i="10" s="1"/>
  <c r="AA27" i="10"/>
  <c r="AT27" i="10"/>
  <c r="B28" i="10" l="1"/>
  <c r="B2" i="9" s="1"/>
  <c r="F28" i="10"/>
  <c r="F2" i="9" s="1"/>
  <c r="AV27" i="10"/>
  <c r="AD27" i="10"/>
  <c r="H28" i="10"/>
  <c r="H2" i="9" s="1"/>
  <c r="AG27" i="10"/>
  <c r="J2" i="9" l="1"/>
  <c r="J28" i="10"/>
  <c r="AY27" i="10"/>
  <c r="AZ27" i="10"/>
  <c r="C2" i="9" l="1"/>
  <c r="I2" i="9"/>
  <c r="E2" i="9"/>
  <c r="G2" i="9"/>
  <c r="O28" i="10"/>
  <c r="P28" i="10" s="1"/>
  <c r="G28" i="10"/>
  <c r="I28" i="10"/>
  <c r="E28" i="10"/>
  <c r="K28" i="10"/>
  <c r="L28" i="10" s="1"/>
  <c r="C28" i="10"/>
  <c r="Q28" i="10" l="1"/>
  <c r="X28" i="10"/>
  <c r="Y28" i="10" s="1"/>
  <c r="Z28" i="10" l="1"/>
  <c r="Y29" i="10"/>
  <c r="O2" i="9" s="1"/>
  <c r="AI28" i="10" l="1"/>
  <c r="AS28" i="10"/>
  <c r="AS29" i="10" s="1"/>
  <c r="P2" i="9"/>
  <c r="X2" i="9"/>
  <c r="Y2" i="9" s="1"/>
  <c r="AC28" i="10"/>
  <c r="AF28" i="10"/>
  <c r="Z29" i="10"/>
  <c r="AT28" i="10"/>
  <c r="AV28" i="10" s="1"/>
  <c r="AA28" i="10"/>
  <c r="AI29" i="10" l="1"/>
  <c r="AJ28" i="10"/>
  <c r="AY28" i="10"/>
  <c r="AZ28" i="10"/>
  <c r="Z2" i="9"/>
  <c r="AF29" i="10"/>
  <c r="AG28" i="10"/>
  <c r="AC29" i="10"/>
  <c r="AD28" i="10"/>
  <c r="S8" i="9"/>
  <c r="U4" i="9"/>
  <c r="S9" i="9"/>
  <c r="S20" i="9"/>
  <c r="U6" i="9"/>
  <c r="S22" i="9"/>
  <c r="S26" i="9"/>
  <c r="U8" i="9"/>
  <c r="S24" i="9"/>
  <c r="S17" i="9"/>
  <c r="S19" i="9"/>
  <c r="S14" i="9"/>
  <c r="S3" i="9"/>
  <c r="S4" i="9"/>
  <c r="S27" i="9"/>
  <c r="S10" i="9"/>
  <c r="S5" i="9"/>
  <c r="S16" i="9"/>
  <c r="S15" i="9"/>
  <c r="S28" i="9"/>
  <c r="S12" i="9"/>
  <c r="S7" i="9"/>
  <c r="S13" i="9"/>
  <c r="S21" i="9"/>
  <c r="U3" i="9"/>
  <c r="S11" i="9"/>
  <c r="U7" i="9"/>
  <c r="S25" i="9"/>
  <c r="U2" i="9"/>
  <c r="S18" i="9"/>
  <c r="S2" i="9"/>
  <c r="S23" i="9"/>
  <c r="S6" i="9"/>
  <c r="U5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AI2" i="9" l="1"/>
  <c r="AS2" i="9"/>
  <c r="AJ2" i="9"/>
  <c r="AF2" i="9"/>
  <c r="AT2" i="9"/>
  <c r="AC2" i="9"/>
  <c r="AA2" i="9"/>
  <c r="F3" i="9" l="1"/>
  <c r="B3" i="9"/>
  <c r="AD2" i="9"/>
  <c r="AV2" i="9"/>
  <c r="H3" i="9"/>
  <c r="AG2" i="9"/>
  <c r="AZ2" i="9" l="1"/>
  <c r="AY2" i="9"/>
  <c r="J3" i="9"/>
  <c r="C3" i="9" l="1"/>
  <c r="E3" i="9"/>
  <c r="G3" i="9"/>
  <c r="O3" i="9"/>
  <c r="P3" i="9" s="1"/>
  <c r="I3" i="9"/>
  <c r="K3" i="9"/>
  <c r="L3" i="9" s="1"/>
  <c r="X3" i="9" l="1"/>
  <c r="Y3" i="9" s="1"/>
  <c r="Q3" i="9"/>
  <c r="Z3" i="9" l="1"/>
  <c r="AI3" i="9" l="1"/>
  <c r="AS3" i="9"/>
  <c r="AJ3" i="9"/>
  <c r="AC3" i="9"/>
  <c r="AF3" i="9"/>
  <c r="AT3" i="9"/>
  <c r="AA3" i="9"/>
  <c r="B4" i="9" l="1"/>
  <c r="F4" i="9"/>
  <c r="AV3" i="9"/>
  <c r="H4" i="9"/>
  <c r="AG3" i="9"/>
  <c r="AD3" i="9"/>
  <c r="J4" i="9" l="1"/>
  <c r="AZ3" i="9"/>
  <c r="AY3" i="9"/>
  <c r="G4" i="9" l="1"/>
  <c r="C4" i="9"/>
  <c r="O4" i="9"/>
  <c r="P4" i="9" s="1"/>
  <c r="E4" i="9"/>
  <c r="K4" i="9"/>
  <c r="L4" i="9" s="1"/>
  <c r="I4" i="9"/>
  <c r="X4" i="9" l="1"/>
  <c r="Y4" i="9" s="1"/>
  <c r="Q4" i="9"/>
  <c r="Z4" i="9" l="1"/>
  <c r="AI4" i="9" l="1"/>
  <c r="AS4" i="9"/>
  <c r="AJ4" i="9"/>
  <c r="AF4" i="9"/>
  <c r="AC4" i="9"/>
  <c r="AT4" i="9"/>
  <c r="AA4" i="9"/>
  <c r="B5" i="9" l="1"/>
  <c r="F5" i="9"/>
  <c r="AV4" i="9"/>
  <c r="AD4" i="9"/>
  <c r="AG4" i="9"/>
  <c r="H5" i="9"/>
  <c r="J5" i="9" l="1"/>
  <c r="AZ4" i="9"/>
  <c r="AY4" i="9"/>
  <c r="C5" i="9" l="1"/>
  <c r="K5" i="9"/>
  <c r="L5" i="9" s="1"/>
  <c r="I5" i="9"/>
  <c r="O5" i="9"/>
  <c r="P5" i="9" s="1"/>
  <c r="E5" i="9"/>
  <c r="G5" i="9"/>
  <c r="Q5" i="9" l="1"/>
  <c r="X5" i="9"/>
  <c r="Y5" i="9" s="1"/>
  <c r="Z5" i="9" l="1"/>
  <c r="AI5" i="9" l="1"/>
  <c r="AS5" i="9"/>
  <c r="AJ5" i="9"/>
  <c r="AF5" i="9"/>
  <c r="AC5" i="9"/>
  <c r="AT5" i="9"/>
  <c r="AA5" i="9"/>
  <c r="B6" i="9" l="1"/>
  <c r="F6" i="9"/>
  <c r="AV5" i="9"/>
  <c r="AD5" i="9"/>
  <c r="H6" i="9"/>
  <c r="AG5" i="9"/>
  <c r="J6" i="9" l="1"/>
  <c r="AY5" i="9"/>
  <c r="AZ5" i="9"/>
  <c r="E6" i="9" l="1"/>
  <c r="C6" i="9"/>
  <c r="K6" i="9"/>
  <c r="G6" i="9"/>
  <c r="I6" i="9"/>
  <c r="O6" i="9"/>
  <c r="P6" i="9" s="1"/>
  <c r="L6" i="9"/>
  <c r="Q6" i="9" l="1"/>
  <c r="X6" i="9"/>
  <c r="Y6" i="9" s="1"/>
  <c r="Z6" i="9" l="1"/>
  <c r="AI6" i="9" l="1"/>
  <c r="AS6" i="9"/>
  <c r="AJ6" i="9"/>
  <c r="AC6" i="9"/>
  <c r="AF6" i="9"/>
  <c r="AT6" i="9"/>
  <c r="AA6" i="9"/>
  <c r="B7" i="9" l="1"/>
  <c r="F7" i="9"/>
  <c r="AV6" i="9"/>
  <c r="AG6" i="9"/>
  <c r="H7" i="9"/>
  <c r="AD6" i="9"/>
  <c r="J7" i="9" l="1"/>
  <c r="AZ6" i="9"/>
  <c r="AY6" i="9"/>
  <c r="E7" i="9" l="1"/>
  <c r="G7" i="9"/>
  <c r="O7" i="9"/>
  <c r="P7" i="9" s="1"/>
  <c r="C7" i="9"/>
  <c r="I7" i="9"/>
  <c r="K7" i="9"/>
  <c r="L7" i="9" s="1"/>
  <c r="X7" i="9" l="1"/>
  <c r="Y7" i="9" s="1"/>
  <c r="Z7" i="9" s="1"/>
  <c r="Q7" i="9"/>
  <c r="AI7" i="9" l="1"/>
  <c r="AJ7" i="9" s="1"/>
  <c r="AS7" i="9"/>
  <c r="AC7" i="9"/>
  <c r="AF7" i="9"/>
  <c r="AT7" i="9"/>
  <c r="AA7" i="9"/>
  <c r="B8" i="9" l="1"/>
  <c r="F8" i="9"/>
  <c r="AV7" i="9"/>
  <c r="H8" i="9"/>
  <c r="AG7" i="9"/>
  <c r="AD7" i="9"/>
  <c r="J8" i="9" l="1"/>
  <c r="AY7" i="9"/>
  <c r="AZ7" i="9"/>
  <c r="I8" i="9" l="1"/>
  <c r="G8" i="9"/>
  <c r="O8" i="9"/>
  <c r="P8" i="9" s="1"/>
  <c r="K8" i="9"/>
  <c r="L8" i="9" s="1"/>
  <c r="C8" i="9"/>
  <c r="E8" i="9"/>
  <c r="Q8" i="9" l="1"/>
  <c r="X8" i="9"/>
  <c r="Y8" i="9" s="1"/>
  <c r="Z8" i="9" s="1"/>
  <c r="AI8" i="9" l="1"/>
  <c r="AJ8" i="9" s="1"/>
  <c r="AS8" i="9"/>
  <c r="AF8" i="9"/>
  <c r="AC8" i="9"/>
  <c r="AA8" i="9"/>
  <c r="AT8" i="9"/>
  <c r="B9" i="9" l="1"/>
  <c r="F9" i="9"/>
  <c r="AV8" i="9"/>
  <c r="AD8" i="9"/>
  <c r="H9" i="9"/>
  <c r="AG8" i="9"/>
  <c r="J9" i="9" l="1"/>
  <c r="AZ8" i="9"/>
  <c r="AY8" i="9"/>
  <c r="G9" i="9" l="1"/>
  <c r="I9" i="9"/>
  <c r="O9" i="9"/>
  <c r="P9" i="9" s="1"/>
  <c r="K9" i="9"/>
  <c r="L9" i="9" s="1"/>
  <c r="C9" i="9"/>
  <c r="E9" i="9"/>
  <c r="Q9" i="9" l="1"/>
  <c r="X9" i="9"/>
  <c r="Y9" i="9" s="1"/>
  <c r="Z9" i="9" s="1"/>
  <c r="AI9" i="9" l="1"/>
  <c r="AJ9" i="9" s="1"/>
  <c r="AS9" i="9"/>
  <c r="AC9" i="9"/>
  <c r="AF9" i="9"/>
  <c r="AT9" i="9"/>
  <c r="AA9" i="9"/>
  <c r="B10" i="9" l="1"/>
  <c r="F10" i="9"/>
  <c r="AV9" i="9"/>
  <c r="H10" i="9"/>
  <c r="AG9" i="9"/>
  <c r="AD9" i="9"/>
  <c r="J10" i="9" l="1"/>
  <c r="AZ9" i="9"/>
  <c r="AY9" i="9"/>
  <c r="I10" i="9" l="1"/>
  <c r="G10" i="9"/>
  <c r="K10" i="9"/>
  <c r="L10" i="9" s="1"/>
  <c r="O10" i="9"/>
  <c r="P10" i="9" s="1"/>
  <c r="E10" i="9"/>
  <c r="C10" i="9"/>
  <c r="X10" i="9" l="1"/>
  <c r="Y10" i="9" s="1"/>
  <c r="Z10" i="9" s="1"/>
  <c r="Q10" i="9"/>
  <c r="AI10" i="9" l="1"/>
  <c r="AJ10" i="9" s="1"/>
  <c r="AS10" i="9"/>
  <c r="AF10" i="9"/>
  <c r="AC10" i="9"/>
  <c r="AA10" i="9"/>
  <c r="AT10" i="9"/>
  <c r="B11" i="9" l="1"/>
  <c r="F11" i="9"/>
  <c r="AV10" i="9"/>
  <c r="AD10" i="9"/>
  <c r="H11" i="9"/>
  <c r="AG10" i="9"/>
  <c r="J11" i="9" l="1"/>
  <c r="AZ10" i="9"/>
  <c r="AY10" i="9"/>
  <c r="I11" i="9" l="1"/>
  <c r="O11" i="9"/>
  <c r="P11" i="9" s="1"/>
  <c r="C11" i="9"/>
  <c r="G11" i="9"/>
  <c r="K11" i="9"/>
  <c r="L11" i="9" s="1"/>
  <c r="E11" i="9"/>
  <c r="Q11" i="9" l="1"/>
  <c r="X11" i="9"/>
  <c r="Y11" i="9" s="1"/>
  <c r="Z11" i="9" s="1"/>
  <c r="AI11" i="9" l="1"/>
  <c r="AJ11" i="9" s="1"/>
  <c r="AS11" i="9"/>
  <c r="AF11" i="9"/>
  <c r="AC11" i="9"/>
  <c r="AT11" i="9"/>
  <c r="AA11" i="9"/>
  <c r="B12" i="9" l="1"/>
  <c r="F12" i="9"/>
  <c r="AV11" i="9"/>
  <c r="AD11" i="9"/>
  <c r="H12" i="9"/>
  <c r="AG11" i="9"/>
  <c r="J12" i="9" l="1"/>
  <c r="AY11" i="9"/>
  <c r="AZ11" i="9"/>
  <c r="E12" i="9" l="1"/>
  <c r="K12" i="9"/>
  <c r="C12" i="9"/>
  <c r="G12" i="9"/>
  <c r="I12" i="9"/>
  <c r="O12" i="9"/>
  <c r="P12" i="9" s="1"/>
  <c r="L12" i="9"/>
  <c r="X12" i="9" l="1"/>
  <c r="Y12" i="9" s="1"/>
  <c r="Z12" i="9" s="1"/>
  <c r="Q12" i="9"/>
  <c r="AI12" i="9" l="1"/>
  <c r="AJ12" i="9" s="1"/>
  <c r="AS12" i="9"/>
  <c r="AF12" i="9"/>
  <c r="AC12" i="9"/>
  <c r="AA12" i="9"/>
  <c r="AT12" i="9"/>
  <c r="B13" i="9" l="1"/>
  <c r="F13" i="9"/>
  <c r="AV12" i="9"/>
  <c r="AD12" i="9"/>
  <c r="AG12" i="9"/>
  <c r="H13" i="9"/>
  <c r="J13" i="9" l="1"/>
  <c r="AY12" i="9"/>
  <c r="AZ12" i="9"/>
  <c r="I13" i="9" l="1"/>
  <c r="E13" i="9"/>
  <c r="G13" i="9"/>
  <c r="K13" i="9"/>
  <c r="L13" i="9" s="1"/>
  <c r="C13" i="9"/>
  <c r="O13" i="9"/>
  <c r="P13" i="9" s="1"/>
  <c r="X13" i="9" l="1"/>
  <c r="Y13" i="9" s="1"/>
  <c r="Z13" i="9" s="1"/>
  <c r="Q13" i="9"/>
  <c r="AI13" i="9" l="1"/>
  <c r="AJ13" i="9" s="1"/>
  <c r="AS13" i="9"/>
  <c r="AF13" i="9"/>
  <c r="AC13" i="9"/>
  <c r="AT13" i="9"/>
  <c r="AA13" i="9"/>
  <c r="B14" i="9" l="1"/>
  <c r="F14" i="9"/>
  <c r="AV13" i="9"/>
  <c r="AD13" i="9"/>
  <c r="H14" i="9"/>
  <c r="AG13" i="9"/>
  <c r="J14" i="9" l="1"/>
  <c r="AZ13" i="9"/>
  <c r="AY13" i="9"/>
  <c r="K14" i="9" l="1"/>
  <c r="I14" i="9"/>
  <c r="O14" i="9"/>
  <c r="P14" i="9" s="1"/>
  <c r="C14" i="9"/>
  <c r="G14" i="9"/>
  <c r="E14" i="9"/>
  <c r="L14" i="9"/>
  <c r="Q14" i="9" l="1"/>
  <c r="X14" i="9"/>
  <c r="Y14" i="9" s="1"/>
  <c r="Z14" i="9" s="1"/>
  <c r="AI14" i="9" l="1"/>
  <c r="AJ14" i="9" s="1"/>
  <c r="AS14" i="9"/>
  <c r="AF14" i="9"/>
  <c r="AC14" i="9"/>
  <c r="AA14" i="9"/>
  <c r="AT14" i="9"/>
  <c r="B15" i="9" l="1"/>
  <c r="F15" i="9"/>
  <c r="AV14" i="9"/>
  <c r="AD14" i="9"/>
  <c r="AG14" i="9"/>
  <c r="H15" i="9"/>
  <c r="J15" i="9" l="1"/>
  <c r="AY14" i="9"/>
  <c r="AZ14" i="9"/>
  <c r="E15" i="9" l="1"/>
  <c r="C15" i="9"/>
  <c r="I15" i="9"/>
  <c r="O15" i="9"/>
  <c r="P15" i="9" s="1"/>
  <c r="G15" i="9"/>
  <c r="K15" i="9"/>
  <c r="L15" i="9" s="1"/>
  <c r="X15" i="9" l="1"/>
  <c r="Y15" i="9" s="1"/>
  <c r="Z15" i="9" s="1"/>
  <c r="Q15" i="9"/>
  <c r="AI15" i="9" l="1"/>
  <c r="AJ15" i="9" s="1"/>
  <c r="AS15" i="9"/>
  <c r="AF15" i="9"/>
  <c r="AC15" i="9"/>
  <c r="AT15" i="9"/>
  <c r="AA15" i="9"/>
  <c r="B16" i="9" l="1"/>
  <c r="F16" i="9"/>
  <c r="AV15" i="9"/>
  <c r="AD15" i="9"/>
  <c r="H16" i="9"/>
  <c r="AG15" i="9"/>
  <c r="J16" i="9" l="1"/>
  <c r="AY15" i="9"/>
  <c r="AZ15" i="9"/>
  <c r="K16" i="9" l="1"/>
  <c r="L16" i="9" s="1"/>
  <c r="G16" i="9"/>
  <c r="I16" i="9"/>
  <c r="E16" i="9"/>
  <c r="O16" i="9"/>
  <c r="P16" i="9" s="1"/>
  <c r="C16" i="9"/>
  <c r="Q16" i="9" l="1"/>
  <c r="X16" i="9"/>
  <c r="Y16" i="9" s="1"/>
  <c r="Z16" i="9" s="1"/>
  <c r="AI16" i="9" l="1"/>
  <c r="AJ16" i="9" s="1"/>
  <c r="AS16" i="9"/>
  <c r="AF16" i="9"/>
  <c r="AC16" i="9"/>
  <c r="AA16" i="9"/>
  <c r="AT16" i="9"/>
  <c r="B17" i="9" l="1"/>
  <c r="F17" i="9"/>
  <c r="AV16" i="9"/>
  <c r="AD16" i="9"/>
  <c r="AG16" i="9"/>
  <c r="H17" i="9"/>
  <c r="J17" i="9" l="1"/>
  <c r="AZ16" i="9"/>
  <c r="AY16" i="9"/>
  <c r="G17" i="9" l="1"/>
  <c r="C17" i="9"/>
  <c r="K17" i="9"/>
  <c r="L17" i="9" s="1"/>
  <c r="I17" i="9"/>
  <c r="O17" i="9"/>
  <c r="P17" i="9" s="1"/>
  <c r="E17" i="9"/>
  <c r="X17" i="9" l="1"/>
  <c r="Y17" i="9" s="1"/>
  <c r="Z17" i="9" s="1"/>
  <c r="Q17" i="9"/>
  <c r="AI17" i="9" l="1"/>
  <c r="AJ17" i="9" s="1"/>
  <c r="AS17" i="9"/>
  <c r="AC17" i="9"/>
  <c r="AF17" i="9"/>
  <c r="AT17" i="9"/>
  <c r="AA17" i="9"/>
  <c r="B18" i="9" l="1"/>
  <c r="F18" i="9"/>
  <c r="AV17" i="9"/>
  <c r="H18" i="9"/>
  <c r="AG17" i="9"/>
  <c r="AD17" i="9"/>
  <c r="J18" i="9" l="1"/>
  <c r="AY17" i="9"/>
  <c r="AZ17" i="9"/>
  <c r="I18" i="9" l="1"/>
  <c r="C18" i="9"/>
  <c r="O18" i="9"/>
  <c r="P18" i="9" s="1"/>
  <c r="K18" i="9"/>
  <c r="L18" i="9" s="1"/>
  <c r="G18" i="9"/>
  <c r="E18" i="9"/>
  <c r="Q18" i="9" l="1"/>
  <c r="X18" i="9"/>
  <c r="Y18" i="9" s="1"/>
  <c r="Z18" i="9" s="1"/>
  <c r="AI18" i="9" l="1"/>
  <c r="AJ18" i="9" s="1"/>
  <c r="AS18" i="9"/>
  <c r="AF18" i="9"/>
  <c r="AC18" i="9"/>
  <c r="AA18" i="9"/>
  <c r="AT18" i="9"/>
  <c r="B19" i="9" l="1"/>
  <c r="F19" i="9"/>
  <c r="AV18" i="9"/>
  <c r="AD18" i="9"/>
  <c r="AG18" i="9"/>
  <c r="H19" i="9"/>
  <c r="J19" i="9" l="1"/>
  <c r="AZ18" i="9"/>
  <c r="AY18" i="9"/>
  <c r="G19" i="9" l="1"/>
  <c r="K19" i="9"/>
  <c r="L19" i="9" s="1"/>
  <c r="E19" i="9"/>
  <c r="I19" i="9"/>
  <c r="C19" i="9"/>
  <c r="O19" i="9"/>
  <c r="P19" i="9" s="1"/>
  <c r="X19" i="9" l="1"/>
  <c r="Y19" i="9" s="1"/>
  <c r="Z19" i="9" s="1"/>
  <c r="Q19" i="9"/>
  <c r="AI19" i="9" l="1"/>
  <c r="AJ19" i="9" s="1"/>
  <c r="AS19" i="9"/>
  <c r="AC19" i="9"/>
  <c r="AF19" i="9"/>
  <c r="AA19" i="9"/>
  <c r="AT19" i="9"/>
  <c r="B20" i="9" l="1"/>
  <c r="F20" i="9"/>
  <c r="AV19" i="9"/>
  <c r="H20" i="9"/>
  <c r="AG19" i="9"/>
  <c r="AD19" i="9"/>
  <c r="J20" i="9" l="1"/>
  <c r="AY19" i="9"/>
  <c r="AZ19" i="9"/>
  <c r="C20" i="9" l="1"/>
  <c r="K20" i="9"/>
  <c r="G20" i="9"/>
  <c r="E20" i="9"/>
  <c r="L20" i="9"/>
  <c r="O20" i="9"/>
  <c r="P20" i="9" s="1"/>
  <c r="I20" i="9"/>
  <c r="Q20" i="9" l="1"/>
  <c r="X20" i="9"/>
  <c r="Y20" i="9" s="1"/>
  <c r="Z20" i="9" s="1"/>
  <c r="AI20" i="9" l="1"/>
  <c r="AJ20" i="9" s="1"/>
  <c r="AS20" i="9"/>
  <c r="AC20" i="9"/>
  <c r="AF20" i="9"/>
  <c r="AT20" i="9"/>
  <c r="AA20" i="9"/>
  <c r="B21" i="9" l="1"/>
  <c r="F21" i="9"/>
  <c r="AV20" i="9"/>
  <c r="H21" i="9"/>
  <c r="AG20" i="9"/>
  <c r="AD20" i="9"/>
  <c r="J21" i="9" l="1"/>
  <c r="AY20" i="9"/>
  <c r="AZ20" i="9"/>
  <c r="E21" i="9" l="1"/>
  <c r="G21" i="9"/>
  <c r="O21" i="9"/>
  <c r="P21" i="9" s="1"/>
  <c r="K21" i="9"/>
  <c r="L21" i="9" s="1"/>
  <c r="I21" i="9"/>
  <c r="C21" i="9"/>
  <c r="X21" i="9" l="1"/>
  <c r="Y21" i="9" s="1"/>
  <c r="Z21" i="9" s="1"/>
  <c r="Q21" i="9"/>
  <c r="AI21" i="9" l="1"/>
  <c r="AJ21" i="9" s="1"/>
  <c r="AS21" i="9"/>
  <c r="AC21" i="9"/>
  <c r="AF21" i="9"/>
  <c r="AA21" i="9"/>
  <c r="AT21" i="9"/>
  <c r="B22" i="9" l="1"/>
  <c r="F22" i="9"/>
  <c r="AV21" i="9"/>
  <c r="AG21" i="9"/>
  <c r="H22" i="9"/>
  <c r="AD21" i="9"/>
  <c r="J22" i="9" l="1"/>
  <c r="AZ21" i="9"/>
  <c r="AY21" i="9"/>
  <c r="K22" i="9" l="1"/>
  <c r="L22" i="9" s="1"/>
  <c r="E22" i="9"/>
  <c r="O22" i="9"/>
  <c r="P22" i="9" s="1"/>
  <c r="I22" i="9"/>
  <c r="G22" i="9"/>
  <c r="C22" i="9"/>
  <c r="Q22" i="9" l="1"/>
  <c r="X22" i="9"/>
  <c r="Y22" i="9" s="1"/>
  <c r="Z22" i="9" s="1"/>
  <c r="AI22" i="9" l="1"/>
  <c r="AJ22" i="9" s="1"/>
  <c r="AS22" i="9"/>
  <c r="AF22" i="9"/>
  <c r="AC22" i="9"/>
  <c r="AT22" i="9"/>
  <c r="AA22" i="9"/>
  <c r="B23" i="9" l="1"/>
  <c r="F23" i="9"/>
  <c r="AV22" i="9"/>
  <c r="AD22" i="9"/>
  <c r="H23" i="9"/>
  <c r="AG22" i="9"/>
  <c r="J23" i="9" l="1"/>
  <c r="AZ22" i="9"/>
  <c r="AY22" i="9"/>
  <c r="E23" i="9" l="1"/>
  <c r="I23" i="9"/>
  <c r="O23" i="9"/>
  <c r="P23" i="9" s="1"/>
  <c r="K23" i="9"/>
  <c r="L23" i="9" s="1"/>
  <c r="G23" i="9"/>
  <c r="C23" i="9"/>
  <c r="Q23" i="9" l="1"/>
  <c r="X23" i="9"/>
  <c r="Y23" i="9" s="1"/>
  <c r="Z23" i="9" s="1"/>
  <c r="AI23" i="9" l="1"/>
  <c r="AJ23" i="9" s="1"/>
  <c r="AS23" i="9"/>
  <c r="AC23" i="9"/>
  <c r="AF23" i="9"/>
  <c r="AA23" i="9"/>
  <c r="AT23" i="9"/>
  <c r="B24" i="9" l="1"/>
  <c r="F24" i="9"/>
  <c r="AV23" i="9"/>
  <c r="AG23" i="9"/>
  <c r="H24" i="9"/>
  <c r="AD23" i="9"/>
  <c r="J24" i="9" l="1"/>
  <c r="AY23" i="9"/>
  <c r="AZ23" i="9"/>
  <c r="E24" i="9" l="1"/>
  <c r="K24" i="9"/>
  <c r="L24" i="9" s="1"/>
  <c r="G24" i="9"/>
  <c r="O24" i="9"/>
  <c r="P24" i="9" s="1"/>
  <c r="I24" i="9"/>
  <c r="C24" i="9"/>
  <c r="X24" i="9" l="1"/>
  <c r="Y24" i="9" s="1"/>
  <c r="Z24" i="9" s="1"/>
  <c r="Q24" i="9"/>
  <c r="AI24" i="9" l="1"/>
  <c r="AJ24" i="9" s="1"/>
  <c r="AS24" i="9"/>
  <c r="AF24" i="9"/>
  <c r="AC24" i="9"/>
  <c r="AT24" i="9"/>
  <c r="AA24" i="9"/>
  <c r="B25" i="9" l="1"/>
  <c r="F25" i="9"/>
  <c r="AV24" i="9"/>
  <c r="AD24" i="9"/>
  <c r="AG24" i="9"/>
  <c r="H25" i="9"/>
  <c r="J25" i="9" l="1"/>
  <c r="AY24" i="9"/>
  <c r="AZ24" i="9"/>
  <c r="G25" i="9" l="1"/>
  <c r="O25" i="9"/>
  <c r="P25" i="9" s="1"/>
  <c r="I25" i="9"/>
  <c r="K25" i="9"/>
  <c r="L25" i="9" s="1"/>
  <c r="E25" i="9"/>
  <c r="C25" i="9"/>
  <c r="Q25" i="9" l="1"/>
  <c r="X25" i="9"/>
  <c r="Y25" i="9" s="1"/>
  <c r="Z25" i="9" s="1"/>
  <c r="AI25" i="9" l="1"/>
  <c r="AJ25" i="9" s="1"/>
  <c r="AS25" i="9"/>
  <c r="AF25" i="9"/>
  <c r="AC25" i="9"/>
  <c r="AA25" i="9"/>
  <c r="AT25" i="9"/>
  <c r="B26" i="9" l="1"/>
  <c r="F26" i="9"/>
  <c r="AV25" i="9"/>
  <c r="AD25" i="9"/>
  <c r="H26" i="9"/>
  <c r="AG25" i="9"/>
  <c r="J26" i="9" l="1"/>
  <c r="AZ25" i="9"/>
  <c r="AY25" i="9"/>
  <c r="C26" i="9" l="1"/>
  <c r="O26" i="9"/>
  <c r="P26" i="9" s="1"/>
  <c r="G26" i="9"/>
  <c r="K26" i="9"/>
  <c r="L26" i="9" s="1"/>
  <c r="E26" i="9"/>
  <c r="I26" i="9"/>
  <c r="X26" i="9" l="1"/>
  <c r="Y26" i="9" s="1"/>
  <c r="Z26" i="9" s="1"/>
  <c r="Q26" i="9"/>
  <c r="AI26" i="9" l="1"/>
  <c r="AJ26" i="9" s="1"/>
  <c r="AS26" i="9"/>
  <c r="AF26" i="9"/>
  <c r="AC26" i="9"/>
  <c r="AT26" i="9"/>
  <c r="AA26" i="9"/>
  <c r="B27" i="9" l="1"/>
  <c r="F27" i="9"/>
  <c r="AV26" i="9"/>
  <c r="AD26" i="9"/>
  <c r="H27" i="9"/>
  <c r="AG26" i="9"/>
  <c r="J27" i="9" l="1"/>
  <c r="AZ26" i="9"/>
  <c r="AY26" i="9"/>
  <c r="G27" i="9" l="1"/>
  <c r="K27" i="9"/>
  <c r="L27" i="9" s="1"/>
  <c r="E27" i="9"/>
  <c r="I27" i="9"/>
  <c r="O27" i="9"/>
  <c r="P27" i="9" s="1"/>
  <c r="C27" i="9"/>
  <c r="X27" i="9" l="1"/>
  <c r="Y27" i="9" s="1"/>
  <c r="Z27" i="9" s="1"/>
  <c r="Q27" i="9"/>
  <c r="AI27" i="9" l="1"/>
  <c r="AJ27" i="9" s="1"/>
  <c r="AS27" i="9"/>
  <c r="AC27" i="9"/>
  <c r="AF27" i="9"/>
  <c r="AA27" i="9"/>
  <c r="AT27" i="9"/>
  <c r="B28" i="9" l="1"/>
  <c r="B2" i="8" s="1"/>
  <c r="F28" i="9"/>
  <c r="F2" i="8" s="1"/>
  <c r="AV27" i="9"/>
  <c r="AG27" i="9"/>
  <c r="H28" i="9"/>
  <c r="H2" i="8" s="1"/>
  <c r="AD27" i="9"/>
  <c r="J2" i="8" l="1"/>
  <c r="J28" i="9"/>
  <c r="AZ27" i="9"/>
  <c r="AY27" i="9"/>
  <c r="I2" i="8" l="1"/>
  <c r="G2" i="8"/>
  <c r="E2" i="8"/>
  <c r="C2" i="8"/>
  <c r="G28" i="9"/>
  <c r="E28" i="9"/>
  <c r="I28" i="9"/>
  <c r="K28" i="9"/>
  <c r="L28" i="9" s="1"/>
  <c r="C28" i="9"/>
  <c r="O28" i="9"/>
  <c r="P28" i="9" s="1"/>
  <c r="Q28" i="9" l="1"/>
  <c r="X28" i="9"/>
  <c r="Y28" i="9" s="1"/>
  <c r="Z28" i="9" l="1"/>
  <c r="Y29" i="9"/>
  <c r="O2" i="8" s="1"/>
  <c r="AI28" i="9" l="1"/>
  <c r="AS28" i="9"/>
  <c r="AS29" i="9" s="1"/>
  <c r="AI29" i="9"/>
  <c r="AJ28" i="9"/>
  <c r="X2" i="8"/>
  <c r="Y2" i="8" s="1"/>
  <c r="P2" i="8"/>
  <c r="AC28" i="9"/>
  <c r="AF28" i="9"/>
  <c r="Z29" i="9"/>
  <c r="AT28" i="9"/>
  <c r="AV28" i="9" s="1"/>
  <c r="AA28" i="9"/>
  <c r="AZ28" i="9" l="1"/>
  <c r="AY28" i="9"/>
  <c r="S23" i="8"/>
  <c r="U20" i="8"/>
  <c r="S14" i="8"/>
  <c r="U14" i="8"/>
  <c r="S4" i="8"/>
  <c r="S22" i="8"/>
  <c r="U27" i="8"/>
  <c r="S21" i="8"/>
  <c r="U18" i="8"/>
  <c r="S12" i="8"/>
  <c r="S6" i="8"/>
  <c r="U8" i="8"/>
  <c r="S7" i="8"/>
  <c r="U28" i="8"/>
  <c r="S20" i="8"/>
  <c r="U25" i="8"/>
  <c r="S19" i="8"/>
  <c r="U16" i="8"/>
  <c r="S10" i="8"/>
  <c r="S8" i="8"/>
  <c r="S28" i="8"/>
  <c r="U23" i="8"/>
  <c r="S17" i="8"/>
  <c r="S3" i="8"/>
  <c r="U2" i="8"/>
  <c r="U24" i="8"/>
  <c r="S16" i="8"/>
  <c r="U21" i="8"/>
  <c r="S15" i="8"/>
  <c r="U12" i="8"/>
  <c r="U9" i="8"/>
  <c r="U19" i="8"/>
  <c r="S13" i="8"/>
  <c r="U10" i="8"/>
  <c r="U11" i="8"/>
  <c r="U17" i="8"/>
  <c r="S11" i="8"/>
  <c r="S2" i="8"/>
  <c r="U4" i="8"/>
  <c r="S26" i="8"/>
  <c r="S24" i="8"/>
  <c r="S27" i="8"/>
  <c r="U15" i="8"/>
  <c r="S9" i="8"/>
  <c r="U6" i="8"/>
  <c r="S5" i="8"/>
  <c r="U13" i="8"/>
  <c r="U3" i="8"/>
  <c r="U22" i="8"/>
  <c r="S25" i="8"/>
  <c r="U7" i="8"/>
  <c r="U5" i="8"/>
  <c r="U26" i="8"/>
  <c r="S18" i="8"/>
  <c r="AF29" i="9"/>
  <c r="AG28" i="9"/>
  <c r="AC29" i="9"/>
  <c r="AD28" i="9"/>
  <c r="Z2" i="8"/>
  <c r="AI2" i="8" l="1"/>
  <c r="AS2" i="8"/>
  <c r="AJ2" i="8"/>
  <c r="AF2" i="8"/>
  <c r="H3" i="8" s="1"/>
  <c r="AC2" i="8"/>
  <c r="AA2" i="8"/>
  <c r="AT2" i="8"/>
  <c r="F3" i="8" l="1"/>
  <c r="B3" i="8"/>
  <c r="AV2" i="8"/>
  <c r="AD2" i="8"/>
  <c r="AG2" i="8"/>
  <c r="J3" i="8" l="1"/>
  <c r="AZ2" i="8"/>
  <c r="AY2" i="8"/>
  <c r="I3" i="8" l="1"/>
  <c r="G3" i="8"/>
  <c r="E3" i="8"/>
  <c r="C3" i="8"/>
  <c r="O3" i="8"/>
  <c r="P3" i="8" s="1"/>
  <c r="K3" i="8"/>
  <c r="L3" i="8" s="1"/>
  <c r="Q3" i="8" l="1"/>
  <c r="X3" i="8"/>
  <c r="Y3" i="8" s="1"/>
  <c r="Z3" i="8" l="1"/>
  <c r="AI3" i="8" l="1"/>
  <c r="AS3" i="8"/>
  <c r="AJ3" i="8"/>
  <c r="AF3" i="8"/>
  <c r="AC3" i="8"/>
  <c r="AT3" i="8"/>
  <c r="AA3" i="8"/>
  <c r="B4" i="8" l="1"/>
  <c r="F4" i="8"/>
  <c r="AV3" i="8"/>
  <c r="AD3" i="8"/>
  <c r="H4" i="8"/>
  <c r="AG3" i="8"/>
  <c r="J4" i="8" l="1"/>
  <c r="AY3" i="8"/>
  <c r="AZ3" i="8"/>
  <c r="C4" i="8" l="1"/>
  <c r="K4" i="8"/>
  <c r="L4" i="8" s="1"/>
  <c r="I4" i="8"/>
  <c r="O4" i="8"/>
  <c r="P4" i="8" s="1"/>
  <c r="E4" i="8"/>
  <c r="G4" i="8"/>
  <c r="X4" i="8" l="1"/>
  <c r="Y4" i="8" s="1"/>
  <c r="Q4" i="8"/>
  <c r="Z4" i="8" l="1"/>
  <c r="AI4" i="8" l="1"/>
  <c r="AS4" i="8"/>
  <c r="AJ4" i="8"/>
  <c r="AC4" i="8"/>
  <c r="AF4" i="8"/>
  <c r="AT4" i="8"/>
  <c r="AA4" i="8"/>
  <c r="B5" i="8" l="1"/>
  <c r="F5" i="8"/>
  <c r="AV4" i="8"/>
  <c r="AG4" i="8"/>
  <c r="H5" i="8"/>
  <c r="AD4" i="8"/>
  <c r="J5" i="8" l="1"/>
  <c r="AY4" i="8"/>
  <c r="AZ4" i="8"/>
  <c r="G5" i="8" l="1"/>
  <c r="I5" i="8"/>
  <c r="E5" i="8"/>
  <c r="C5" i="8"/>
  <c r="O5" i="8"/>
  <c r="P5" i="8" s="1"/>
  <c r="K5" i="8"/>
  <c r="L5" i="8" s="1"/>
  <c r="Q5" i="8" l="1"/>
  <c r="X5" i="8"/>
  <c r="Y5" i="8" s="1"/>
  <c r="Z5" i="8" l="1"/>
  <c r="AI5" i="8" l="1"/>
  <c r="AS5" i="8"/>
  <c r="AJ5" i="8"/>
  <c r="AC5" i="8"/>
  <c r="AF5" i="8"/>
  <c r="AA5" i="8"/>
  <c r="AT5" i="8"/>
  <c r="B6" i="8" l="1"/>
  <c r="F6" i="8"/>
  <c r="AV5" i="8"/>
  <c r="H6" i="8"/>
  <c r="AG5" i="8"/>
  <c r="AD5" i="8"/>
  <c r="J6" i="8" l="1"/>
  <c r="AZ5" i="8"/>
  <c r="AY5" i="8"/>
  <c r="K6" i="8" l="1"/>
  <c r="L6" i="8" s="1"/>
  <c r="C6" i="8"/>
  <c r="G6" i="8"/>
  <c r="I6" i="8"/>
  <c r="O6" i="8"/>
  <c r="P6" i="8" s="1"/>
  <c r="E6" i="8"/>
  <c r="X6" i="8" l="1"/>
  <c r="Y6" i="8" s="1"/>
  <c r="Q6" i="8"/>
  <c r="Z6" i="8" l="1"/>
  <c r="AI6" i="8" l="1"/>
  <c r="AS6" i="8"/>
  <c r="AJ6" i="8"/>
  <c r="AF6" i="8"/>
  <c r="AC6" i="8"/>
  <c r="AT6" i="8"/>
  <c r="AA6" i="8"/>
  <c r="B7" i="8" l="1"/>
  <c r="F7" i="8"/>
  <c r="AV6" i="8"/>
  <c r="AD6" i="8"/>
  <c r="AG6" i="8"/>
  <c r="H7" i="8"/>
  <c r="J7" i="8" l="1"/>
  <c r="AY6" i="8"/>
  <c r="AZ6" i="8"/>
  <c r="C7" i="8" l="1"/>
  <c r="O7" i="8"/>
  <c r="P7" i="8" s="1"/>
  <c r="I7" i="8"/>
  <c r="K7" i="8"/>
  <c r="L7" i="8" s="1"/>
  <c r="E7" i="8"/>
  <c r="G7" i="8"/>
  <c r="X7" i="8" l="1"/>
  <c r="Y7" i="8" s="1"/>
  <c r="Z7" i="8" s="1"/>
  <c r="Q7" i="8"/>
  <c r="AI7" i="8" l="1"/>
  <c r="AJ7" i="8" s="1"/>
  <c r="AS7" i="8"/>
  <c r="AF7" i="8"/>
  <c r="AC7" i="8"/>
  <c r="AT7" i="8"/>
  <c r="AA7" i="8"/>
  <c r="B8" i="8" l="1"/>
  <c r="F8" i="8"/>
  <c r="AV7" i="8"/>
  <c r="AD7" i="8"/>
  <c r="AG7" i="8"/>
  <c r="H8" i="8"/>
  <c r="J8" i="8" l="1"/>
  <c r="AY7" i="8"/>
  <c r="AZ7" i="8"/>
  <c r="O8" i="8" l="1"/>
  <c r="P8" i="8" s="1"/>
  <c r="I8" i="8"/>
  <c r="G8" i="8"/>
  <c r="K8" i="8"/>
  <c r="L8" i="8" s="1"/>
  <c r="C8" i="8"/>
  <c r="E8" i="8"/>
  <c r="X8" i="8" l="1"/>
  <c r="Y8" i="8" s="1"/>
  <c r="Z8" i="8" s="1"/>
  <c r="Q8" i="8"/>
  <c r="AI8" i="8" l="1"/>
  <c r="AJ8" i="8" s="1"/>
  <c r="AS8" i="8"/>
  <c r="AC8" i="8"/>
  <c r="AF8" i="8"/>
  <c r="AA8" i="8"/>
  <c r="AT8" i="8"/>
  <c r="B9" i="8" l="1"/>
  <c r="F9" i="8"/>
  <c r="AV8" i="8"/>
  <c r="H9" i="8"/>
  <c r="AG8" i="8"/>
  <c r="AD8" i="8"/>
  <c r="J9" i="8" l="1"/>
  <c r="AY8" i="8"/>
  <c r="AZ8" i="8"/>
  <c r="C9" i="8" l="1"/>
  <c r="O9" i="8"/>
  <c r="P9" i="8" s="1"/>
  <c r="I9" i="8"/>
  <c r="G9" i="8"/>
  <c r="E9" i="8"/>
  <c r="K9" i="8"/>
  <c r="L9" i="8" s="1"/>
  <c r="X9" i="8" l="1"/>
  <c r="Y9" i="8" s="1"/>
  <c r="Z9" i="8" s="1"/>
  <c r="Q9" i="8"/>
  <c r="AI9" i="8" l="1"/>
  <c r="AJ9" i="8" s="1"/>
  <c r="AS9" i="8"/>
  <c r="AF9" i="8"/>
  <c r="AC9" i="8"/>
  <c r="AT9" i="8"/>
  <c r="AA9" i="8"/>
  <c r="B10" i="8" l="1"/>
  <c r="F10" i="8"/>
  <c r="AV9" i="8"/>
  <c r="AD9" i="8"/>
  <c r="H10" i="8"/>
  <c r="AG9" i="8"/>
  <c r="J10" i="8" l="1"/>
  <c r="AZ9" i="8"/>
  <c r="AY9" i="8"/>
  <c r="O10" i="8" l="1"/>
  <c r="P10" i="8" s="1"/>
  <c r="G10" i="8"/>
  <c r="E10" i="8"/>
  <c r="I10" i="8"/>
  <c r="C10" i="8"/>
  <c r="K10" i="8"/>
  <c r="L10" i="8" s="1"/>
  <c r="Q10" i="8" l="1"/>
  <c r="X10" i="8"/>
  <c r="Y10" i="8" s="1"/>
  <c r="Z10" i="8" s="1"/>
  <c r="AI10" i="8" l="1"/>
  <c r="AJ10" i="8" s="1"/>
  <c r="AS10" i="8"/>
  <c r="AC10" i="8"/>
  <c r="AF10" i="8"/>
  <c r="AA10" i="8"/>
  <c r="AT10" i="8"/>
  <c r="B11" i="8" l="1"/>
  <c r="F11" i="8"/>
  <c r="AV10" i="8"/>
  <c r="H11" i="8"/>
  <c r="AG10" i="8"/>
  <c r="AD10" i="8"/>
  <c r="J11" i="8" l="1"/>
  <c r="AY10" i="8"/>
  <c r="AZ10" i="8"/>
  <c r="C11" i="8" l="1"/>
  <c r="O11" i="8"/>
  <c r="P11" i="8" s="1"/>
  <c r="K11" i="8"/>
  <c r="L11" i="8" s="1"/>
  <c r="G11" i="8"/>
  <c r="I11" i="8"/>
  <c r="E11" i="8"/>
  <c r="Q11" i="8" l="1"/>
  <c r="X11" i="8"/>
  <c r="Y11" i="8" s="1"/>
  <c r="Z11" i="8" s="1"/>
  <c r="AI11" i="8" l="1"/>
  <c r="AJ11" i="8" s="1"/>
  <c r="AS11" i="8"/>
  <c r="AF11" i="8"/>
  <c r="AC11" i="8"/>
  <c r="AT11" i="8"/>
  <c r="AA11" i="8"/>
  <c r="B12" i="8" l="1"/>
  <c r="F12" i="8"/>
  <c r="AV11" i="8"/>
  <c r="AD11" i="8"/>
  <c r="AG11" i="8"/>
  <c r="H12" i="8"/>
  <c r="J12" i="8" l="1"/>
  <c r="AY11" i="8"/>
  <c r="AZ11" i="8"/>
  <c r="E12" i="8" l="1"/>
  <c r="G12" i="8"/>
  <c r="I12" i="8"/>
  <c r="C12" i="8"/>
  <c r="O12" i="8"/>
  <c r="P12" i="8" s="1"/>
  <c r="K12" i="8"/>
  <c r="L12" i="8" s="1"/>
  <c r="X12" i="8" l="1"/>
  <c r="Y12" i="8" s="1"/>
  <c r="Z12" i="8" s="1"/>
  <c r="Q12" i="8"/>
  <c r="AI12" i="8" l="1"/>
  <c r="AJ12" i="8" s="1"/>
  <c r="AS12" i="8"/>
  <c r="AC12" i="8"/>
  <c r="AF12" i="8"/>
  <c r="AA12" i="8"/>
  <c r="AT12" i="8"/>
  <c r="B13" i="8" l="1"/>
  <c r="F13" i="8"/>
  <c r="AV12" i="8"/>
  <c r="H13" i="8"/>
  <c r="AG12" i="8"/>
  <c r="AD12" i="8"/>
  <c r="J13" i="8" l="1"/>
  <c r="AY12" i="8"/>
  <c r="AZ12" i="8"/>
  <c r="C13" i="8" l="1"/>
  <c r="O13" i="8"/>
  <c r="P13" i="8" s="1"/>
  <c r="K13" i="8"/>
  <c r="L13" i="8" s="1"/>
  <c r="G13" i="8"/>
  <c r="I13" i="8"/>
  <c r="E13" i="8"/>
  <c r="Q13" i="8" l="1"/>
  <c r="X13" i="8"/>
  <c r="Y13" i="8" s="1"/>
  <c r="Z13" i="8" s="1"/>
  <c r="AI13" i="8" l="1"/>
  <c r="AJ13" i="8" s="1"/>
  <c r="AS13" i="8"/>
  <c r="AF13" i="8"/>
  <c r="AC13" i="8"/>
  <c r="AT13" i="8"/>
  <c r="AA13" i="8"/>
  <c r="B14" i="8" l="1"/>
  <c r="F14" i="8"/>
  <c r="AV13" i="8"/>
  <c r="AD13" i="8"/>
  <c r="H14" i="8"/>
  <c r="AG13" i="8"/>
  <c r="J14" i="8" l="1"/>
  <c r="AY13" i="8"/>
  <c r="AZ13" i="8"/>
  <c r="O14" i="8" l="1"/>
  <c r="P14" i="8" s="1"/>
  <c r="I14" i="8"/>
  <c r="G14" i="8"/>
  <c r="K14" i="8"/>
  <c r="L14" i="8" s="1"/>
  <c r="E14" i="8"/>
  <c r="C14" i="8"/>
  <c r="X14" i="8" l="1"/>
  <c r="Y14" i="8" s="1"/>
  <c r="Z14" i="8" s="1"/>
  <c r="Q14" i="8"/>
  <c r="AI14" i="8" l="1"/>
  <c r="AJ14" i="8" s="1"/>
  <c r="AS14" i="8"/>
  <c r="AF14" i="8"/>
  <c r="AC14" i="8"/>
  <c r="AA14" i="8"/>
  <c r="AT14" i="8"/>
  <c r="B15" i="8" l="1"/>
  <c r="F15" i="8"/>
  <c r="AV14" i="8"/>
  <c r="AD14" i="8"/>
  <c r="H15" i="8"/>
  <c r="AG14" i="8"/>
  <c r="J15" i="8" l="1"/>
  <c r="AY14" i="8"/>
  <c r="AZ14" i="8"/>
  <c r="C15" i="8" l="1"/>
  <c r="I15" i="8"/>
  <c r="G15" i="8"/>
  <c r="O15" i="8"/>
  <c r="P15" i="8" s="1"/>
  <c r="K15" i="8"/>
  <c r="L15" i="8" s="1"/>
  <c r="E15" i="8"/>
  <c r="Q15" i="8" l="1"/>
  <c r="X15" i="8"/>
  <c r="Y15" i="8" s="1"/>
  <c r="Z15" i="8" s="1"/>
  <c r="AI15" i="8" l="1"/>
  <c r="AJ15" i="8" s="1"/>
  <c r="AS15" i="8"/>
  <c r="AC15" i="8"/>
  <c r="AF15" i="8"/>
  <c r="AT15" i="8"/>
  <c r="AA15" i="8"/>
  <c r="B16" i="8" l="1"/>
  <c r="F16" i="8"/>
  <c r="AV15" i="8"/>
  <c r="H16" i="8"/>
  <c r="AG15" i="8"/>
  <c r="AD15" i="8"/>
  <c r="J16" i="8" l="1"/>
  <c r="AZ15" i="8"/>
  <c r="AY15" i="8"/>
  <c r="C16" i="8" l="1"/>
  <c r="E16" i="8"/>
  <c r="G16" i="8"/>
  <c r="I16" i="8"/>
  <c r="O16" i="8"/>
  <c r="P16" i="8" s="1"/>
  <c r="K16" i="8"/>
  <c r="L16" i="8" s="1"/>
  <c r="Q16" i="8" l="1"/>
  <c r="X16" i="8"/>
  <c r="Y16" i="8" s="1"/>
  <c r="Z16" i="8" s="1"/>
  <c r="AI16" i="8" l="1"/>
  <c r="AJ16" i="8" s="1"/>
  <c r="AS16" i="8"/>
  <c r="AC16" i="8"/>
  <c r="AF16" i="8"/>
  <c r="AA16" i="8"/>
  <c r="AT16" i="8"/>
  <c r="B17" i="8" l="1"/>
  <c r="F17" i="8"/>
  <c r="AV16" i="8"/>
  <c r="H17" i="8"/>
  <c r="AG16" i="8"/>
  <c r="AD16" i="8"/>
  <c r="J17" i="8" l="1"/>
  <c r="AY16" i="8"/>
  <c r="AZ16" i="8"/>
  <c r="C17" i="8" l="1"/>
  <c r="O17" i="8"/>
  <c r="P17" i="8" s="1"/>
  <c r="K17" i="8"/>
  <c r="L17" i="8" s="1"/>
  <c r="E17" i="8"/>
  <c r="I17" i="8"/>
  <c r="G17" i="8"/>
  <c r="X17" i="8" l="1"/>
  <c r="Y17" i="8" s="1"/>
  <c r="Z17" i="8" s="1"/>
  <c r="Q17" i="8"/>
  <c r="AI17" i="8" l="1"/>
  <c r="AJ17" i="8" s="1"/>
  <c r="AS17" i="8"/>
  <c r="AC17" i="8"/>
  <c r="AF17" i="8"/>
  <c r="AT17" i="8"/>
  <c r="AA17" i="8"/>
  <c r="B18" i="8" l="1"/>
  <c r="F18" i="8"/>
  <c r="AV17" i="8"/>
  <c r="H18" i="8"/>
  <c r="AG17" i="8"/>
  <c r="AD17" i="8"/>
  <c r="J18" i="8" l="1"/>
  <c r="AZ17" i="8"/>
  <c r="AY17" i="8"/>
  <c r="C18" i="8" l="1"/>
  <c r="G18" i="8"/>
  <c r="E18" i="8"/>
  <c r="O18" i="8"/>
  <c r="P18" i="8" s="1"/>
  <c r="K18" i="8"/>
  <c r="L18" i="8" s="1"/>
  <c r="I18" i="8"/>
  <c r="X18" i="8" l="1"/>
  <c r="Y18" i="8" s="1"/>
  <c r="Z18" i="8" s="1"/>
  <c r="Q18" i="8"/>
  <c r="AI18" i="8" l="1"/>
  <c r="AJ18" i="8" s="1"/>
  <c r="AS18" i="8"/>
  <c r="AF18" i="8"/>
  <c r="AC18" i="8"/>
  <c r="AA18" i="8"/>
  <c r="AT18" i="8"/>
  <c r="B19" i="8" l="1"/>
  <c r="F19" i="8"/>
  <c r="AD18" i="8"/>
  <c r="AV18" i="8"/>
  <c r="AG18" i="8"/>
  <c r="H19" i="8"/>
  <c r="AZ18" i="8" l="1"/>
  <c r="AY18" i="8"/>
  <c r="J19" i="8"/>
  <c r="C19" i="8" l="1"/>
  <c r="O19" i="8"/>
  <c r="P19" i="8" s="1"/>
  <c r="I19" i="8"/>
  <c r="E19" i="8"/>
  <c r="K19" i="8"/>
  <c r="L19" i="8" s="1"/>
  <c r="G19" i="8"/>
  <c r="Q19" i="8" l="1"/>
  <c r="X19" i="8"/>
  <c r="Y19" i="8" s="1"/>
  <c r="Z19" i="8" s="1"/>
  <c r="AI19" i="8" l="1"/>
  <c r="AJ19" i="8" s="1"/>
  <c r="AS19" i="8"/>
  <c r="AC19" i="8"/>
  <c r="AF19" i="8"/>
  <c r="AA19" i="8"/>
  <c r="AT19" i="8"/>
  <c r="B20" i="8" l="1"/>
  <c r="F20" i="8"/>
  <c r="AV19" i="8"/>
  <c r="AG19" i="8"/>
  <c r="H20" i="8"/>
  <c r="AD19" i="8"/>
  <c r="J20" i="8" l="1"/>
  <c r="AY19" i="8"/>
  <c r="AZ19" i="8"/>
  <c r="C20" i="8" l="1"/>
  <c r="G20" i="8"/>
  <c r="E20" i="8"/>
  <c r="O20" i="8"/>
  <c r="P20" i="8" s="1"/>
  <c r="I20" i="8"/>
  <c r="K20" i="8"/>
  <c r="L20" i="8" s="1"/>
  <c r="X20" i="8" l="1"/>
  <c r="Y20" i="8" s="1"/>
  <c r="Z20" i="8" s="1"/>
  <c r="Q20" i="8"/>
  <c r="AI20" i="8" l="1"/>
  <c r="AJ20" i="8" s="1"/>
  <c r="AS20" i="8"/>
  <c r="AC20" i="8"/>
  <c r="AF20" i="8"/>
  <c r="AT20" i="8"/>
  <c r="AA20" i="8"/>
  <c r="B21" i="8" l="1"/>
  <c r="F21" i="8"/>
  <c r="AV20" i="8"/>
  <c r="H21" i="8"/>
  <c r="AG20" i="8"/>
  <c r="AD20" i="8"/>
  <c r="J21" i="8" l="1"/>
  <c r="AZ20" i="8"/>
  <c r="AY20" i="8"/>
  <c r="C21" i="8" l="1"/>
  <c r="O21" i="8"/>
  <c r="P21" i="8" s="1"/>
  <c r="I21" i="8"/>
  <c r="G21" i="8"/>
  <c r="K21" i="8"/>
  <c r="L21" i="8" s="1"/>
  <c r="E21" i="8"/>
  <c r="Q21" i="8" l="1"/>
  <c r="X21" i="8"/>
  <c r="Y21" i="8" s="1"/>
  <c r="Z21" i="8" s="1"/>
  <c r="AI21" i="8" l="1"/>
  <c r="AJ21" i="8" s="1"/>
  <c r="AS21" i="8"/>
  <c r="AF21" i="8"/>
  <c r="AC21" i="8"/>
  <c r="AA21" i="8"/>
  <c r="AT21" i="8"/>
  <c r="B22" i="8" l="1"/>
  <c r="F22" i="8"/>
  <c r="AV21" i="8"/>
  <c r="AD21" i="8"/>
  <c r="AG21" i="8"/>
  <c r="H22" i="8"/>
  <c r="J22" i="8" l="1"/>
  <c r="AY21" i="8"/>
  <c r="AZ21" i="8"/>
  <c r="C22" i="8" l="1"/>
  <c r="O22" i="8"/>
  <c r="P22" i="8" s="1"/>
  <c r="E22" i="8"/>
  <c r="G22" i="8"/>
  <c r="K22" i="8"/>
  <c r="L22" i="8" s="1"/>
  <c r="I22" i="8"/>
  <c r="X22" i="8" l="1"/>
  <c r="Y22" i="8" s="1"/>
  <c r="Z22" i="8" s="1"/>
  <c r="Q22" i="8"/>
  <c r="AI22" i="8" l="1"/>
  <c r="AJ22" i="8" s="1"/>
  <c r="AS22" i="8"/>
  <c r="AC22" i="8"/>
  <c r="AF22" i="8"/>
  <c r="AT22" i="8"/>
  <c r="AA22" i="8"/>
  <c r="B23" i="8" l="1"/>
  <c r="F23" i="8"/>
  <c r="AV22" i="8"/>
  <c r="H23" i="8"/>
  <c r="AG22" i="8"/>
  <c r="AD22" i="8"/>
  <c r="AY22" i="8" l="1"/>
  <c r="AZ22" i="8"/>
  <c r="J23" i="8"/>
  <c r="C23" i="8" l="1"/>
  <c r="I23" i="8"/>
  <c r="O23" i="8"/>
  <c r="P23" i="8" s="1"/>
  <c r="K23" i="8"/>
  <c r="L23" i="8" s="1"/>
  <c r="E23" i="8"/>
  <c r="G23" i="8"/>
  <c r="Q23" i="8" l="1"/>
  <c r="X23" i="8"/>
  <c r="Y23" i="8" s="1"/>
  <c r="Z23" i="8" s="1"/>
  <c r="AI23" i="8" l="1"/>
  <c r="AJ23" i="8" s="1"/>
  <c r="AS23" i="8"/>
  <c r="AC23" i="8"/>
  <c r="AF23" i="8"/>
  <c r="AA23" i="8"/>
  <c r="AT23" i="8"/>
  <c r="B24" i="8" l="1"/>
  <c r="F24" i="8"/>
  <c r="AV23" i="8"/>
  <c r="AG23" i="8"/>
  <c r="H24" i="8"/>
  <c r="AD23" i="8"/>
  <c r="J24" i="8" l="1"/>
  <c r="AY23" i="8"/>
  <c r="AZ23" i="8"/>
  <c r="G24" i="8" l="1"/>
  <c r="C24" i="8"/>
  <c r="O24" i="8"/>
  <c r="P24" i="8" s="1"/>
  <c r="E24" i="8"/>
  <c r="I24" i="8"/>
  <c r="K24" i="8"/>
  <c r="L24" i="8" s="1"/>
  <c r="Q24" i="8" l="1"/>
  <c r="X24" i="8"/>
  <c r="Y24" i="8" s="1"/>
  <c r="Z24" i="8" s="1"/>
  <c r="AI24" i="8" l="1"/>
  <c r="AJ24" i="8" s="1"/>
  <c r="AS24" i="8"/>
  <c r="AF24" i="8"/>
  <c r="AC24" i="8"/>
  <c r="AT24" i="8"/>
  <c r="AA24" i="8"/>
  <c r="B25" i="8" l="1"/>
  <c r="F25" i="8"/>
  <c r="AD24" i="8"/>
  <c r="AV24" i="8"/>
  <c r="AG24" i="8"/>
  <c r="H25" i="8"/>
  <c r="AY24" i="8" l="1"/>
  <c r="AZ24" i="8"/>
  <c r="J25" i="8"/>
  <c r="C25" i="8" l="1"/>
  <c r="O25" i="8"/>
  <c r="P25" i="8" s="1"/>
  <c r="I25" i="8"/>
  <c r="K25" i="8"/>
  <c r="L25" i="8" s="1"/>
  <c r="G25" i="8"/>
  <c r="E25" i="8"/>
  <c r="Q25" i="8" l="1"/>
  <c r="X25" i="8"/>
  <c r="Y25" i="8" s="1"/>
  <c r="Z25" i="8" s="1"/>
  <c r="AI25" i="8" l="1"/>
  <c r="AJ25" i="8" s="1"/>
  <c r="AS25" i="8"/>
  <c r="AF25" i="8"/>
  <c r="AC25" i="8"/>
  <c r="AA25" i="8"/>
  <c r="AT25" i="8"/>
  <c r="B26" i="8" l="1"/>
  <c r="F26" i="8"/>
  <c r="AV25" i="8"/>
  <c r="AD25" i="8"/>
  <c r="H26" i="8"/>
  <c r="AG25" i="8"/>
  <c r="J26" i="8" l="1"/>
  <c r="AY25" i="8"/>
  <c r="AZ25" i="8"/>
  <c r="K26" i="8" l="1"/>
  <c r="L26" i="8" s="1"/>
  <c r="G26" i="8"/>
  <c r="C26" i="8"/>
  <c r="E26" i="8"/>
  <c r="I26" i="8"/>
  <c r="O26" i="8"/>
  <c r="P26" i="8" s="1"/>
  <c r="X26" i="8" l="1"/>
  <c r="Y26" i="8" s="1"/>
  <c r="Z26" i="8" s="1"/>
  <c r="Q26" i="8"/>
  <c r="AI26" i="8" l="1"/>
  <c r="AJ26" i="8" s="1"/>
  <c r="AS26" i="8"/>
  <c r="AC26" i="8"/>
  <c r="AF26" i="8"/>
  <c r="AT26" i="8"/>
  <c r="AA26" i="8"/>
  <c r="B27" i="8" l="1"/>
  <c r="F27" i="8"/>
  <c r="AV26" i="8"/>
  <c r="AG26" i="8"/>
  <c r="H27" i="8"/>
  <c r="AD26" i="8"/>
  <c r="J27" i="8" l="1"/>
  <c r="AY26" i="8"/>
  <c r="AZ26" i="8"/>
  <c r="C27" i="8" l="1"/>
  <c r="K27" i="8"/>
  <c r="L27" i="8" s="1"/>
  <c r="O27" i="8"/>
  <c r="P27" i="8" s="1"/>
  <c r="I27" i="8"/>
  <c r="G27" i="8"/>
  <c r="E27" i="8"/>
  <c r="Q27" i="8" l="1"/>
  <c r="X27" i="8"/>
  <c r="Y27" i="8" s="1"/>
  <c r="Z27" i="8" s="1"/>
  <c r="AI27" i="8" l="1"/>
  <c r="AJ27" i="8" s="1"/>
  <c r="AS27" i="8"/>
  <c r="AF27" i="8"/>
  <c r="AC27" i="8"/>
  <c r="AA27" i="8"/>
  <c r="AT27" i="8"/>
  <c r="B28" i="8" l="1"/>
  <c r="B2" i="7" s="1"/>
  <c r="F28" i="8"/>
  <c r="F2" i="7" s="1"/>
  <c r="AV27" i="8"/>
  <c r="AD27" i="8"/>
  <c r="AG27" i="8"/>
  <c r="H28" i="8"/>
  <c r="H2" i="7" s="1"/>
  <c r="J2" i="7" l="1"/>
  <c r="J28" i="8"/>
  <c r="AZ27" i="8"/>
  <c r="AY27" i="8"/>
  <c r="I2" i="7" l="1"/>
  <c r="E2" i="7"/>
  <c r="C2" i="7"/>
  <c r="G2" i="7"/>
  <c r="O28" i="8"/>
  <c r="P28" i="8" s="1"/>
  <c r="K28" i="8"/>
  <c r="L28" i="8" s="1"/>
  <c r="I28" i="8"/>
  <c r="G28" i="8"/>
  <c r="E28" i="8"/>
  <c r="C28" i="8"/>
  <c r="X28" i="8" l="1"/>
  <c r="Y28" i="8" s="1"/>
  <c r="Q28" i="8"/>
  <c r="Z28" i="8" l="1"/>
  <c r="Y29" i="8"/>
  <c r="O2" i="7" s="1"/>
  <c r="AI28" i="8" l="1"/>
  <c r="AS28" i="8"/>
  <c r="AS29" i="8" s="1"/>
  <c r="AI29" i="8"/>
  <c r="AJ28" i="8"/>
  <c r="X2" i="7"/>
  <c r="Y2" i="7" s="1"/>
  <c r="P2" i="7"/>
  <c r="AF28" i="8"/>
  <c r="AC28" i="8"/>
  <c r="Z29" i="8"/>
  <c r="AT28" i="8"/>
  <c r="AV28" i="8" s="1"/>
  <c r="AA28" i="8"/>
  <c r="AY28" i="8" l="1"/>
  <c r="AZ28" i="8"/>
  <c r="S4" i="7"/>
  <c r="S7" i="7"/>
  <c r="S3" i="7"/>
  <c r="S5" i="7"/>
  <c r="S8" i="7"/>
  <c r="U4" i="7"/>
  <c r="S11" i="7"/>
  <c r="U3" i="7"/>
  <c r="S2" i="7"/>
  <c r="U2" i="7"/>
  <c r="U5" i="7"/>
  <c r="S6" i="7"/>
  <c r="U6" i="7"/>
  <c r="S9" i="7"/>
  <c r="S10" i="7"/>
  <c r="U7" i="7"/>
  <c r="S12" i="7"/>
  <c r="U8" i="7"/>
  <c r="S13" i="7"/>
  <c r="S14" i="7"/>
  <c r="U9" i="7"/>
  <c r="S15" i="7"/>
  <c r="U10" i="7"/>
  <c r="U11" i="7"/>
  <c r="S16" i="7"/>
  <c r="S17" i="7"/>
  <c r="U12" i="7"/>
  <c r="U13" i="7"/>
  <c r="S18" i="7"/>
  <c r="S19" i="7"/>
  <c r="U14" i="7"/>
  <c r="S20" i="7"/>
  <c r="U15" i="7"/>
  <c r="S21" i="7"/>
  <c r="U16" i="7"/>
  <c r="S22" i="7"/>
  <c r="U17" i="7"/>
  <c r="S23" i="7"/>
  <c r="U18" i="7"/>
  <c r="S24" i="7"/>
  <c r="U19" i="7"/>
  <c r="U20" i="7"/>
  <c r="S25" i="7"/>
  <c r="S26" i="7"/>
  <c r="U21" i="7"/>
  <c r="S27" i="7"/>
  <c r="U22" i="7"/>
  <c r="S28" i="7"/>
  <c r="U23" i="7"/>
  <c r="U24" i="7"/>
  <c r="U25" i="7"/>
  <c r="U26" i="7"/>
  <c r="U27" i="7"/>
  <c r="U28" i="7"/>
  <c r="AC29" i="8"/>
  <c r="AD28" i="8"/>
  <c r="AF29" i="8"/>
  <c r="AG28" i="8"/>
  <c r="Z2" i="7"/>
  <c r="AI2" i="7" l="1"/>
  <c r="AS2" i="7"/>
  <c r="AJ2" i="7"/>
  <c r="AF2" i="7"/>
  <c r="AT2" i="7"/>
  <c r="AA2" i="7"/>
  <c r="AC2" i="7"/>
  <c r="F3" i="7" l="1"/>
  <c r="B3" i="7"/>
  <c r="AD2" i="7"/>
  <c r="AV2" i="7"/>
  <c r="AG2" i="7"/>
  <c r="H3" i="7"/>
  <c r="AZ2" i="7" l="1"/>
  <c r="AY2" i="7"/>
  <c r="J3" i="7"/>
  <c r="E3" i="7" l="1"/>
  <c r="C3" i="7"/>
  <c r="G3" i="7"/>
  <c r="K3" i="7"/>
  <c r="L3" i="7" s="1"/>
  <c r="O3" i="7"/>
  <c r="P3" i="7" s="1"/>
  <c r="I3" i="7"/>
  <c r="Q3" i="7" l="1"/>
  <c r="X3" i="7"/>
  <c r="Y3" i="7" s="1"/>
  <c r="Z3" i="7" l="1"/>
  <c r="AI3" i="7" l="1"/>
  <c r="AS3" i="7"/>
  <c r="AJ3" i="7"/>
  <c r="AF3" i="7"/>
  <c r="AC3" i="7"/>
  <c r="AA3" i="7"/>
  <c r="AT3" i="7"/>
  <c r="B4" i="7" l="1"/>
  <c r="F4" i="7"/>
  <c r="AV3" i="7"/>
  <c r="AD3" i="7"/>
  <c r="H4" i="7"/>
  <c r="AG3" i="7"/>
  <c r="J4" i="7" l="1"/>
  <c r="AY3" i="7"/>
  <c r="AZ3" i="7"/>
  <c r="G4" i="7" l="1"/>
  <c r="O4" i="7"/>
  <c r="P4" i="7" s="1"/>
  <c r="E4" i="7"/>
  <c r="K4" i="7"/>
  <c r="L4" i="7" s="1"/>
  <c r="C4" i="7"/>
  <c r="I4" i="7"/>
  <c r="Q4" i="7" l="1"/>
  <c r="X4" i="7"/>
  <c r="Y4" i="7" s="1"/>
  <c r="Z4" i="7" l="1"/>
  <c r="AI4" i="7" l="1"/>
  <c r="AS4" i="7"/>
  <c r="AJ4" i="7"/>
  <c r="AF4" i="7"/>
  <c r="AC4" i="7"/>
  <c r="AA4" i="7"/>
  <c r="AT4" i="7"/>
  <c r="B5" i="7" l="1"/>
  <c r="F5" i="7"/>
  <c r="AV4" i="7"/>
  <c r="AD4" i="7"/>
  <c r="H5" i="7"/>
  <c r="AG4" i="7"/>
  <c r="J5" i="7" l="1"/>
  <c r="AZ4" i="7"/>
  <c r="AY4" i="7"/>
  <c r="G5" i="7" l="1"/>
  <c r="O5" i="7"/>
  <c r="P5" i="7" s="1"/>
  <c r="K5" i="7"/>
  <c r="L5" i="7" s="1"/>
  <c r="C5" i="7"/>
  <c r="E5" i="7"/>
  <c r="I5" i="7"/>
  <c r="X5" i="7" l="1"/>
  <c r="Y5" i="7" s="1"/>
  <c r="Q5" i="7"/>
  <c r="Z5" i="7" l="1"/>
  <c r="AI5" i="7" l="1"/>
  <c r="AS5" i="7"/>
  <c r="AJ5" i="7"/>
  <c r="AC5" i="7"/>
  <c r="AF5" i="7"/>
  <c r="AA5" i="7"/>
  <c r="AT5" i="7"/>
  <c r="B6" i="7" l="1"/>
  <c r="F6" i="7"/>
  <c r="AV5" i="7"/>
  <c r="H6" i="7"/>
  <c r="AG5" i="7"/>
  <c r="AD5" i="7"/>
  <c r="J6" i="7" l="1"/>
  <c r="AY5" i="7"/>
  <c r="AZ5" i="7"/>
  <c r="E6" i="7" l="1"/>
  <c r="I6" i="7"/>
  <c r="K6" i="7"/>
  <c r="L6" i="7" s="1"/>
  <c r="C6" i="7"/>
  <c r="O6" i="7"/>
  <c r="P6" i="7" s="1"/>
  <c r="G6" i="7"/>
  <c r="X6" i="7" l="1"/>
  <c r="Y6" i="7" s="1"/>
  <c r="Q6" i="7"/>
  <c r="Z6" i="7" l="1"/>
  <c r="AI6" i="7" l="1"/>
  <c r="AS6" i="7"/>
  <c r="AJ6" i="7"/>
  <c r="AF6" i="7"/>
  <c r="AC6" i="7"/>
  <c r="AT6" i="7"/>
  <c r="AA6" i="7"/>
  <c r="B7" i="7" l="1"/>
  <c r="F7" i="7"/>
  <c r="AV6" i="7"/>
  <c r="AD6" i="7"/>
  <c r="AG6" i="7"/>
  <c r="H7" i="7"/>
  <c r="J7" i="7" l="1"/>
  <c r="AY6" i="7"/>
  <c r="AZ6" i="7"/>
  <c r="G7" i="7" l="1"/>
  <c r="O7" i="7"/>
  <c r="P7" i="7" s="1"/>
  <c r="K7" i="7"/>
  <c r="L7" i="7" s="1"/>
  <c r="E7" i="7"/>
  <c r="C7" i="7"/>
  <c r="I7" i="7"/>
  <c r="X7" i="7" l="1"/>
  <c r="Y7" i="7" s="1"/>
  <c r="Z7" i="7" s="1"/>
  <c r="Q7" i="7"/>
  <c r="AI7" i="7" l="1"/>
  <c r="AJ7" i="7" s="1"/>
  <c r="AS7" i="7"/>
  <c r="AF7" i="7"/>
  <c r="AC7" i="7"/>
  <c r="AA7" i="7"/>
  <c r="AT7" i="7"/>
  <c r="B8" i="7" l="1"/>
  <c r="F8" i="7"/>
  <c r="AV7" i="7"/>
  <c r="AD7" i="7"/>
  <c r="AG7" i="7"/>
  <c r="H8" i="7"/>
  <c r="J8" i="7" l="1"/>
  <c r="AZ7" i="7"/>
  <c r="AY7" i="7"/>
  <c r="E8" i="7" l="1"/>
  <c r="C8" i="7"/>
  <c r="G8" i="7"/>
  <c r="K8" i="7"/>
  <c r="L8" i="7" s="1"/>
  <c r="O8" i="7"/>
  <c r="P8" i="7" s="1"/>
  <c r="I8" i="7"/>
  <c r="Q8" i="7" l="1"/>
  <c r="X8" i="7"/>
  <c r="Y8" i="7" s="1"/>
  <c r="Z8" i="7" s="1"/>
  <c r="AI8" i="7" l="1"/>
  <c r="AJ8" i="7" s="1"/>
  <c r="AS8" i="7"/>
  <c r="AF8" i="7"/>
  <c r="AC8" i="7"/>
  <c r="AT8" i="7"/>
  <c r="AA8" i="7"/>
  <c r="B9" i="7" l="1"/>
  <c r="F9" i="7"/>
  <c r="AD8" i="7"/>
  <c r="AV8" i="7"/>
  <c r="H9" i="7"/>
  <c r="AG8" i="7"/>
  <c r="AZ8" i="7" l="1"/>
  <c r="AY8" i="7"/>
  <c r="J9" i="7"/>
  <c r="G9" i="7" l="1"/>
  <c r="K9" i="7"/>
  <c r="L9" i="7" s="1"/>
  <c r="O9" i="7"/>
  <c r="P9" i="7" s="1"/>
  <c r="C9" i="7"/>
  <c r="E9" i="7"/>
  <c r="I9" i="7"/>
  <c r="X9" i="7" l="1"/>
  <c r="Y9" i="7" s="1"/>
  <c r="Z9" i="7" s="1"/>
  <c r="Q9" i="7"/>
  <c r="AI9" i="7" l="1"/>
  <c r="AJ9" i="7" s="1"/>
  <c r="AS9" i="7"/>
  <c r="AF9" i="7"/>
  <c r="AC9" i="7"/>
  <c r="AA9" i="7"/>
  <c r="AT9" i="7"/>
  <c r="B10" i="7" l="1"/>
  <c r="F10" i="7"/>
  <c r="AD9" i="7"/>
  <c r="AV9" i="7"/>
  <c r="H10" i="7"/>
  <c r="AG9" i="7"/>
  <c r="AZ9" i="7" l="1"/>
  <c r="AY9" i="7"/>
  <c r="J10" i="7"/>
  <c r="E10" i="7" l="1"/>
  <c r="K10" i="7"/>
  <c r="L10" i="7" s="1"/>
  <c r="I10" i="7"/>
  <c r="G10" i="7"/>
  <c r="O10" i="7"/>
  <c r="P10" i="7" s="1"/>
  <c r="C10" i="7"/>
  <c r="X10" i="7" l="1"/>
  <c r="Y10" i="7" s="1"/>
  <c r="Z10" i="7" s="1"/>
  <c r="Q10" i="7"/>
  <c r="AI10" i="7" l="1"/>
  <c r="AJ10" i="7" s="1"/>
  <c r="AS10" i="7"/>
  <c r="AF10" i="7"/>
  <c r="AC10" i="7"/>
  <c r="AA10" i="7"/>
  <c r="AT10" i="7"/>
  <c r="B11" i="7" l="1"/>
  <c r="F11" i="7"/>
  <c r="AV10" i="7"/>
  <c r="AD10" i="7"/>
  <c r="AG10" i="7"/>
  <c r="H11" i="7"/>
  <c r="J11" i="7" l="1"/>
  <c r="AY10" i="7"/>
  <c r="AZ10" i="7"/>
  <c r="G11" i="7" l="1"/>
  <c r="K11" i="7"/>
  <c r="L11" i="7" s="1"/>
  <c r="I11" i="7"/>
  <c r="O11" i="7"/>
  <c r="P11" i="7" s="1"/>
  <c r="E11" i="7"/>
  <c r="C11" i="7"/>
  <c r="X11" i="7" l="1"/>
  <c r="Y11" i="7" s="1"/>
  <c r="Z11" i="7" s="1"/>
  <c r="Q11" i="7"/>
  <c r="AI11" i="7" l="1"/>
  <c r="AJ11" i="7" s="1"/>
  <c r="AS11" i="7"/>
  <c r="AF11" i="7"/>
  <c r="AC11" i="7"/>
  <c r="AT11" i="7"/>
  <c r="AA11" i="7"/>
  <c r="B12" i="7" l="1"/>
  <c r="F12" i="7"/>
  <c r="AV11" i="7"/>
  <c r="AD11" i="7"/>
  <c r="H12" i="7"/>
  <c r="AG11" i="7"/>
  <c r="AZ11" i="7" l="1"/>
  <c r="AY11" i="7"/>
  <c r="J12" i="7"/>
  <c r="E12" i="7" l="1"/>
  <c r="I12" i="7"/>
  <c r="C12" i="7"/>
  <c r="O12" i="7"/>
  <c r="P12" i="7" s="1"/>
  <c r="K12" i="7"/>
  <c r="L12" i="7" s="1"/>
  <c r="G12" i="7"/>
  <c r="Q12" i="7" l="1"/>
  <c r="X12" i="7"/>
  <c r="Y12" i="7" s="1"/>
  <c r="Z12" i="7" s="1"/>
  <c r="AI12" i="7" l="1"/>
  <c r="AJ12" i="7" s="1"/>
  <c r="AS12" i="7"/>
  <c r="AC12" i="7"/>
  <c r="AF12" i="7"/>
  <c r="AA12" i="7"/>
  <c r="AT12" i="7"/>
  <c r="B13" i="7" l="1"/>
  <c r="F13" i="7"/>
  <c r="AV12" i="7"/>
  <c r="AG12" i="7"/>
  <c r="H13" i="7"/>
  <c r="AD12" i="7"/>
  <c r="J13" i="7" l="1"/>
  <c r="AY12" i="7"/>
  <c r="AZ12" i="7"/>
  <c r="G13" i="7" l="1"/>
  <c r="O13" i="7"/>
  <c r="P13" i="7" s="1"/>
  <c r="K13" i="7"/>
  <c r="L13" i="7" s="1"/>
  <c r="E13" i="7"/>
  <c r="C13" i="7"/>
  <c r="I13" i="7"/>
  <c r="X13" i="7" l="1"/>
  <c r="Y13" i="7" s="1"/>
  <c r="Z13" i="7" s="1"/>
  <c r="Q13" i="7"/>
  <c r="AI13" i="7" l="1"/>
  <c r="AJ13" i="7" s="1"/>
  <c r="AS13" i="7"/>
  <c r="AC13" i="7"/>
  <c r="AF13" i="7"/>
  <c r="AT13" i="7"/>
  <c r="AA13" i="7"/>
  <c r="B14" i="7" l="1"/>
  <c r="F14" i="7"/>
  <c r="AV13" i="7"/>
  <c r="H14" i="7"/>
  <c r="AG13" i="7"/>
  <c r="AD13" i="7"/>
  <c r="J14" i="7" l="1"/>
  <c r="AY13" i="7"/>
  <c r="AZ13" i="7"/>
  <c r="E14" i="7" l="1"/>
  <c r="K14" i="7"/>
  <c r="L14" i="7" s="1"/>
  <c r="G14" i="7"/>
  <c r="O14" i="7"/>
  <c r="P14" i="7" s="1"/>
  <c r="I14" i="7"/>
  <c r="C14" i="7"/>
  <c r="X14" i="7" l="1"/>
  <c r="Y14" i="7" s="1"/>
  <c r="Z14" i="7" s="1"/>
  <c r="Q14" i="7"/>
  <c r="AI14" i="7" l="1"/>
  <c r="AJ14" i="7" s="1"/>
  <c r="AS14" i="7"/>
  <c r="AF14" i="7"/>
  <c r="AC14" i="7"/>
  <c r="AA14" i="7"/>
  <c r="AT14" i="7"/>
  <c r="B15" i="7" l="1"/>
  <c r="F15" i="7"/>
  <c r="AV14" i="7"/>
  <c r="AD14" i="7"/>
  <c r="AG14" i="7"/>
  <c r="H15" i="7"/>
  <c r="J15" i="7" l="1"/>
  <c r="AY14" i="7"/>
  <c r="AZ14" i="7"/>
  <c r="G15" i="7" l="1"/>
  <c r="K15" i="7"/>
  <c r="E15" i="7"/>
  <c r="O15" i="7"/>
  <c r="P15" i="7" s="1"/>
  <c r="C15" i="7"/>
  <c r="L15" i="7"/>
  <c r="I15" i="7"/>
  <c r="X15" i="7" l="1"/>
  <c r="Y15" i="7" s="1"/>
  <c r="Z15" i="7" s="1"/>
  <c r="Q15" i="7"/>
  <c r="AI15" i="7" l="1"/>
  <c r="AJ15" i="7" s="1"/>
  <c r="AS15" i="7"/>
  <c r="AC15" i="7"/>
  <c r="AF15" i="7"/>
  <c r="AT15" i="7"/>
  <c r="AA15" i="7"/>
  <c r="B16" i="7" l="1"/>
  <c r="F16" i="7"/>
  <c r="AV15" i="7"/>
  <c r="AG15" i="7"/>
  <c r="H16" i="7"/>
  <c r="AD15" i="7"/>
  <c r="J16" i="7" l="1"/>
  <c r="AZ15" i="7"/>
  <c r="AY15" i="7"/>
  <c r="E16" i="7" l="1"/>
  <c r="K16" i="7"/>
  <c r="L16" i="7" s="1"/>
  <c r="G16" i="7"/>
  <c r="O16" i="7"/>
  <c r="P16" i="7" s="1"/>
  <c r="I16" i="7"/>
  <c r="C16" i="7"/>
  <c r="Q16" i="7" l="1"/>
  <c r="X16" i="7"/>
  <c r="Y16" i="7" s="1"/>
  <c r="Z16" i="7" s="1"/>
  <c r="AI16" i="7" l="1"/>
  <c r="AJ16" i="7" s="1"/>
  <c r="AS16" i="7"/>
  <c r="AF16" i="7"/>
  <c r="AC16" i="7"/>
  <c r="AA16" i="7"/>
  <c r="AT16" i="7"/>
  <c r="B17" i="7" l="1"/>
  <c r="F17" i="7"/>
  <c r="AV16" i="7"/>
  <c r="AD16" i="7"/>
  <c r="AG16" i="7"/>
  <c r="H17" i="7"/>
  <c r="J17" i="7" l="1"/>
  <c r="AZ16" i="7"/>
  <c r="AY16" i="7"/>
  <c r="G17" i="7" l="1"/>
  <c r="K17" i="7"/>
  <c r="L17" i="7" s="1"/>
  <c r="C17" i="7"/>
  <c r="O17" i="7"/>
  <c r="P17" i="7" s="1"/>
  <c r="E17" i="7"/>
  <c r="I17" i="7"/>
  <c r="X17" i="7" l="1"/>
  <c r="Y17" i="7" s="1"/>
  <c r="Z17" i="7" s="1"/>
  <c r="Q17" i="7"/>
  <c r="AI17" i="7" l="1"/>
  <c r="AJ17" i="7" s="1"/>
  <c r="AS17" i="7"/>
  <c r="AC17" i="7"/>
  <c r="AF17" i="7"/>
  <c r="AT17" i="7"/>
  <c r="AA17" i="7"/>
  <c r="B18" i="7" l="1"/>
  <c r="F18" i="7"/>
  <c r="AV17" i="7"/>
  <c r="H18" i="7"/>
  <c r="AG17" i="7"/>
  <c r="AD17" i="7"/>
  <c r="J18" i="7" l="1"/>
  <c r="AZ17" i="7"/>
  <c r="AY17" i="7"/>
  <c r="O18" i="7" l="1"/>
  <c r="P18" i="7" s="1"/>
  <c r="K18" i="7"/>
  <c r="L18" i="7" s="1"/>
  <c r="I18" i="7"/>
  <c r="G18" i="7"/>
  <c r="C18" i="7"/>
  <c r="E18" i="7"/>
  <c r="Q18" i="7" l="1"/>
  <c r="X18" i="7"/>
  <c r="Y18" i="7" s="1"/>
  <c r="Z18" i="7" s="1"/>
  <c r="AI18" i="7" l="1"/>
  <c r="AJ18" i="7" s="1"/>
  <c r="AS18" i="7"/>
  <c r="AC18" i="7"/>
  <c r="AF18" i="7"/>
  <c r="AA18" i="7"/>
  <c r="AT18" i="7"/>
  <c r="B19" i="7" l="1"/>
  <c r="F19" i="7"/>
  <c r="AV18" i="7"/>
  <c r="H19" i="7"/>
  <c r="AG18" i="7"/>
  <c r="AD18" i="7"/>
  <c r="J19" i="7" l="1"/>
  <c r="AZ18" i="7"/>
  <c r="AY18" i="7"/>
  <c r="G19" i="7" l="1"/>
  <c r="O19" i="7"/>
  <c r="P19" i="7" s="1"/>
  <c r="K19" i="7"/>
  <c r="L19" i="7" s="1"/>
  <c r="E19" i="7"/>
  <c r="C19" i="7"/>
  <c r="I19" i="7"/>
  <c r="Q19" i="7" l="1"/>
  <c r="X19" i="7"/>
  <c r="Y19" i="7" s="1"/>
  <c r="Z19" i="7" s="1"/>
  <c r="AI19" i="7" l="1"/>
  <c r="AJ19" i="7" s="1"/>
  <c r="AS19" i="7"/>
  <c r="AF19" i="7"/>
  <c r="AC19" i="7"/>
  <c r="AT19" i="7"/>
  <c r="AA19" i="7"/>
  <c r="B20" i="7" l="1"/>
  <c r="F20" i="7"/>
  <c r="AV19" i="7"/>
  <c r="AD19" i="7"/>
  <c r="H20" i="7"/>
  <c r="AG19" i="7"/>
  <c r="J20" i="7" l="1"/>
  <c r="AY19" i="7"/>
  <c r="AZ19" i="7"/>
  <c r="O20" i="7" l="1"/>
  <c r="P20" i="7" s="1"/>
  <c r="E20" i="7"/>
  <c r="K20" i="7"/>
  <c r="L20" i="7" s="1"/>
  <c r="G20" i="7"/>
  <c r="C20" i="7"/>
  <c r="I20" i="7"/>
  <c r="Q20" i="7" l="1"/>
  <c r="X20" i="7"/>
  <c r="Y20" i="7" s="1"/>
  <c r="Z20" i="7" s="1"/>
  <c r="AI20" i="7" l="1"/>
  <c r="AJ20" i="7" s="1"/>
  <c r="AS20" i="7"/>
  <c r="AC20" i="7"/>
  <c r="AF20" i="7"/>
  <c r="AA20" i="7"/>
  <c r="AT20" i="7"/>
  <c r="B21" i="7" l="1"/>
  <c r="F21" i="7"/>
  <c r="AV20" i="7"/>
  <c r="H21" i="7"/>
  <c r="AG20" i="7"/>
  <c r="AD20" i="7"/>
  <c r="J21" i="7" l="1"/>
  <c r="AZ20" i="7"/>
  <c r="AY20" i="7"/>
  <c r="G21" i="7" l="1"/>
  <c r="K21" i="7"/>
  <c r="L21" i="7" s="1"/>
  <c r="E21" i="7"/>
  <c r="C21" i="7"/>
  <c r="O21" i="7"/>
  <c r="P21" i="7" s="1"/>
  <c r="I21" i="7"/>
  <c r="X21" i="7" l="1"/>
  <c r="Y21" i="7" s="1"/>
  <c r="Z21" i="7" s="1"/>
  <c r="Q21" i="7"/>
  <c r="AI21" i="7" l="1"/>
  <c r="AJ21" i="7" s="1"/>
  <c r="AS21" i="7"/>
  <c r="AC21" i="7"/>
  <c r="AF21" i="7"/>
  <c r="AT21" i="7"/>
  <c r="AA21" i="7"/>
  <c r="B22" i="7" l="1"/>
  <c r="F22" i="7"/>
  <c r="AV21" i="7"/>
  <c r="H22" i="7"/>
  <c r="AG21" i="7"/>
  <c r="AD21" i="7"/>
  <c r="J22" i="7" l="1"/>
  <c r="AZ21" i="7"/>
  <c r="AY21" i="7"/>
  <c r="O22" i="7" l="1"/>
  <c r="P22" i="7" s="1"/>
  <c r="E22" i="7"/>
  <c r="C22" i="7"/>
  <c r="K22" i="7"/>
  <c r="L22" i="7" s="1"/>
  <c r="I22" i="7"/>
  <c r="G22" i="7"/>
  <c r="X22" i="7" l="1"/>
  <c r="Y22" i="7" s="1"/>
  <c r="Z22" i="7" s="1"/>
  <c r="Q22" i="7"/>
  <c r="AI22" i="7" l="1"/>
  <c r="AJ22" i="7" s="1"/>
  <c r="AS22" i="7"/>
  <c r="AF22" i="7"/>
  <c r="AC22" i="7"/>
  <c r="AA22" i="7"/>
  <c r="AT22" i="7"/>
  <c r="B23" i="7" l="1"/>
  <c r="F23" i="7"/>
  <c r="AV22" i="7"/>
  <c r="AD22" i="7"/>
  <c r="AG22" i="7"/>
  <c r="H23" i="7"/>
  <c r="J23" i="7" l="1"/>
  <c r="AY22" i="7"/>
  <c r="AZ22" i="7"/>
  <c r="G23" i="7" l="1"/>
  <c r="K23" i="7"/>
  <c r="L23" i="7" s="1"/>
  <c r="I23" i="7"/>
  <c r="O23" i="7"/>
  <c r="P23" i="7" s="1"/>
  <c r="E23" i="7"/>
  <c r="C23" i="7"/>
  <c r="X23" i="7" l="1"/>
  <c r="Y23" i="7" s="1"/>
  <c r="Z23" i="7" s="1"/>
  <c r="Q23" i="7"/>
  <c r="AI23" i="7" l="1"/>
  <c r="AJ23" i="7" s="1"/>
  <c r="AS23" i="7"/>
  <c r="AF23" i="7"/>
  <c r="AC23" i="7"/>
  <c r="AT23" i="7"/>
  <c r="AA23" i="7"/>
  <c r="B24" i="7" l="1"/>
  <c r="F24" i="7"/>
  <c r="AV23" i="7"/>
  <c r="AD23" i="7"/>
  <c r="AG23" i="7"/>
  <c r="H24" i="7"/>
  <c r="J24" i="7" l="1"/>
  <c r="AY23" i="7"/>
  <c r="AZ23" i="7"/>
  <c r="I24" i="7" l="1"/>
  <c r="E24" i="7"/>
  <c r="O24" i="7"/>
  <c r="P24" i="7" s="1"/>
  <c r="C24" i="7"/>
  <c r="G24" i="7"/>
  <c r="K24" i="7"/>
  <c r="L24" i="7" s="1"/>
  <c r="X24" i="7" l="1"/>
  <c r="Y24" i="7" s="1"/>
  <c r="Z24" i="7" s="1"/>
  <c r="Q24" i="7"/>
  <c r="AI24" i="7" l="1"/>
  <c r="AJ24" i="7" s="1"/>
  <c r="AS24" i="7"/>
  <c r="AF24" i="7"/>
  <c r="AC24" i="7"/>
  <c r="AA24" i="7"/>
  <c r="AT24" i="7"/>
  <c r="B25" i="7" l="1"/>
  <c r="F25" i="7"/>
  <c r="AV24" i="7"/>
  <c r="AD24" i="7"/>
  <c r="H25" i="7"/>
  <c r="AG24" i="7"/>
  <c r="J25" i="7" l="1"/>
  <c r="AY24" i="7"/>
  <c r="AZ24" i="7"/>
  <c r="G25" i="7" l="1"/>
  <c r="O25" i="7"/>
  <c r="P25" i="7" s="1"/>
  <c r="K25" i="7"/>
  <c r="L25" i="7" s="1"/>
  <c r="C25" i="7"/>
  <c r="E25" i="7"/>
  <c r="I25" i="7"/>
  <c r="X25" i="7" l="1"/>
  <c r="Y25" i="7" s="1"/>
  <c r="Z25" i="7" s="1"/>
  <c r="Q25" i="7"/>
  <c r="AI25" i="7" l="1"/>
  <c r="AJ25" i="7" s="1"/>
  <c r="AS25" i="7"/>
  <c r="AF25" i="7"/>
  <c r="AC25" i="7"/>
  <c r="AA25" i="7"/>
  <c r="AT25" i="7"/>
  <c r="B26" i="7" l="1"/>
  <c r="F26" i="7"/>
  <c r="AV25" i="7"/>
  <c r="AD25" i="7"/>
  <c r="AG25" i="7"/>
  <c r="H26" i="7"/>
  <c r="J26" i="7" l="1"/>
  <c r="AY25" i="7"/>
  <c r="AZ25" i="7"/>
  <c r="I26" i="7" l="1"/>
  <c r="E26" i="7"/>
  <c r="C26" i="7"/>
  <c r="G26" i="7"/>
  <c r="K26" i="7"/>
  <c r="L26" i="7" s="1"/>
  <c r="O26" i="7"/>
  <c r="P26" i="7" s="1"/>
  <c r="Q26" i="7" l="1"/>
  <c r="X26" i="7"/>
  <c r="Y26" i="7" s="1"/>
  <c r="Z26" i="7" s="1"/>
  <c r="AI26" i="7" l="1"/>
  <c r="AJ26" i="7" s="1"/>
  <c r="AS26" i="7"/>
  <c r="AC26" i="7"/>
  <c r="AF26" i="7"/>
  <c r="AT26" i="7"/>
  <c r="AA26" i="7"/>
  <c r="B27" i="7" l="1"/>
  <c r="F27" i="7"/>
  <c r="AV26" i="7"/>
  <c r="H27" i="7"/>
  <c r="AG26" i="7"/>
  <c r="AD26" i="7"/>
  <c r="J27" i="7" l="1"/>
  <c r="AZ26" i="7"/>
  <c r="AY26" i="7"/>
  <c r="G27" i="7" l="1"/>
  <c r="O27" i="7"/>
  <c r="P27" i="7" s="1"/>
  <c r="E27" i="7"/>
  <c r="C27" i="7"/>
  <c r="K27" i="7"/>
  <c r="L27" i="7" s="1"/>
  <c r="I27" i="7"/>
  <c r="X27" i="7" l="1"/>
  <c r="Y27" i="7" s="1"/>
  <c r="Z27" i="7" s="1"/>
  <c r="Q27" i="7"/>
  <c r="AI27" i="7" l="1"/>
  <c r="AJ27" i="7" s="1"/>
  <c r="AS27" i="7"/>
  <c r="AC27" i="7"/>
  <c r="AF27" i="7"/>
  <c r="AA27" i="7"/>
  <c r="AT27" i="7"/>
  <c r="B28" i="7" l="1"/>
  <c r="B2" i="5" s="1"/>
  <c r="F28" i="7"/>
  <c r="F2" i="5" s="1"/>
  <c r="AV27" i="7"/>
  <c r="H28" i="7"/>
  <c r="H2" i="5" s="1"/>
  <c r="AG27" i="7"/>
  <c r="AD27" i="7"/>
  <c r="J2" i="5" l="1"/>
  <c r="J28" i="7"/>
  <c r="AZ27" i="7"/>
  <c r="AY27" i="7"/>
  <c r="I2" i="5" l="1"/>
  <c r="C2" i="5"/>
  <c r="G2" i="5"/>
  <c r="E2" i="5"/>
  <c r="O28" i="7"/>
  <c r="P28" i="7" s="1"/>
  <c r="I28" i="7"/>
  <c r="K28" i="7"/>
  <c r="L28" i="7" s="1"/>
  <c r="E28" i="7"/>
  <c r="C28" i="7"/>
  <c r="G28" i="7"/>
  <c r="Q28" i="7" l="1"/>
  <c r="X28" i="7"/>
  <c r="Y28" i="7" s="1"/>
  <c r="Z28" i="7" l="1"/>
  <c r="Y29" i="7"/>
  <c r="O2" i="5" s="1"/>
  <c r="AI28" i="7" l="1"/>
  <c r="AS28" i="7"/>
  <c r="AS29" i="7" s="1"/>
  <c r="AI29" i="7"/>
  <c r="AJ28" i="7"/>
  <c r="X2" i="5"/>
  <c r="Y2" i="5" s="1"/>
  <c r="P2" i="5"/>
  <c r="AC28" i="7"/>
  <c r="AF28" i="7"/>
  <c r="Z29" i="7"/>
  <c r="AT28" i="7"/>
  <c r="AA28" i="7"/>
  <c r="AV28" i="7" l="1"/>
  <c r="AZ28" i="7"/>
  <c r="AY28" i="7"/>
  <c r="U3" i="5"/>
  <c r="U10" i="5"/>
  <c r="S25" i="5"/>
  <c r="U4" i="5"/>
  <c r="U8" i="5"/>
  <c r="S4" i="5"/>
  <c r="U11" i="5"/>
  <c r="S2" i="5"/>
  <c r="S8" i="5"/>
  <c r="S13" i="5"/>
  <c r="U13" i="5"/>
  <c r="S24" i="5"/>
  <c r="S12" i="5"/>
  <c r="S15" i="5"/>
  <c r="S6" i="5"/>
  <c r="U7" i="5"/>
  <c r="S5" i="5"/>
  <c r="S27" i="5"/>
  <c r="S22" i="5"/>
  <c r="S19" i="5"/>
  <c r="S14" i="5"/>
  <c r="U5" i="5"/>
  <c r="S20" i="5"/>
  <c r="S28" i="5"/>
  <c r="S26" i="5"/>
  <c r="U6" i="5"/>
  <c r="S11" i="5"/>
  <c r="S16" i="5"/>
  <c r="U2" i="5"/>
  <c r="S10" i="5"/>
  <c r="U14" i="5"/>
  <c r="S17" i="5"/>
  <c r="S7" i="5"/>
  <c r="S18" i="5"/>
  <c r="S9" i="5"/>
  <c r="S21" i="5"/>
  <c r="U12" i="5"/>
  <c r="S23" i="5"/>
  <c r="U9" i="5"/>
  <c r="S3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AF29" i="7"/>
  <c r="AG28" i="7"/>
  <c r="AC29" i="7"/>
  <c r="AD28" i="7"/>
  <c r="Z2" i="5"/>
  <c r="AI2" i="5" l="1"/>
  <c r="AS2" i="5"/>
  <c r="AJ2" i="5"/>
  <c r="AF2" i="5"/>
  <c r="H3" i="5" s="1"/>
  <c r="AC2" i="5"/>
  <c r="AT2" i="5"/>
  <c r="AA2" i="5"/>
  <c r="F3" i="5" l="1"/>
  <c r="B3" i="5"/>
  <c r="AV2" i="5"/>
  <c r="AD2" i="5"/>
  <c r="AG2" i="5"/>
  <c r="J3" i="5" l="1"/>
  <c r="AZ2" i="5"/>
  <c r="AY2" i="5"/>
  <c r="AW2" i="5" s="1"/>
  <c r="I3" i="5" l="1"/>
  <c r="G3" i="5"/>
  <c r="E3" i="5"/>
  <c r="C3" i="5"/>
  <c r="O3" i="5"/>
  <c r="P3" i="5" s="1"/>
  <c r="K3" i="5"/>
  <c r="L3" i="5" s="1"/>
  <c r="X3" i="5" l="1"/>
  <c r="Y3" i="5" s="1"/>
  <c r="Q3" i="5"/>
  <c r="Z3" i="5" l="1"/>
  <c r="AI3" i="5" l="1"/>
  <c r="AS3" i="5"/>
  <c r="AJ3" i="5"/>
  <c r="AC3" i="5"/>
  <c r="AF3" i="5"/>
  <c r="AA3" i="5"/>
  <c r="AT3" i="5"/>
  <c r="B4" i="5" l="1"/>
  <c r="F4" i="5"/>
  <c r="AV3" i="5"/>
  <c r="H4" i="5"/>
  <c r="AG3" i="5"/>
  <c r="AD3" i="5"/>
  <c r="J4" i="5" l="1"/>
  <c r="AZ3" i="5"/>
  <c r="AY3" i="5"/>
  <c r="AW3" i="5" s="1"/>
  <c r="G4" i="5" l="1"/>
  <c r="E4" i="5"/>
  <c r="C4" i="5"/>
  <c r="O4" i="5"/>
  <c r="P4" i="5" s="1"/>
  <c r="I4" i="5"/>
  <c r="K4" i="5"/>
  <c r="L4" i="5" s="1"/>
  <c r="X4" i="5" l="1"/>
  <c r="Y4" i="5" s="1"/>
  <c r="Q4" i="5"/>
  <c r="Z4" i="5" l="1"/>
  <c r="AI4" i="5" l="1"/>
  <c r="AS4" i="5"/>
  <c r="AJ4" i="5"/>
  <c r="AC4" i="5"/>
  <c r="AF4" i="5"/>
  <c r="AA4" i="5"/>
  <c r="AT4" i="5"/>
  <c r="B5" i="5" l="1"/>
  <c r="F5" i="5"/>
  <c r="AV4" i="5"/>
  <c r="H5" i="5"/>
  <c r="AG4" i="5"/>
  <c r="AD4" i="5"/>
  <c r="J5" i="5" l="1"/>
  <c r="AY4" i="5"/>
  <c r="AW4" i="5" s="1"/>
  <c r="AZ4" i="5"/>
  <c r="G5" i="5" l="1"/>
  <c r="E5" i="5"/>
  <c r="C5" i="5"/>
  <c r="O5" i="5"/>
  <c r="P5" i="5" s="1"/>
  <c r="I5" i="5"/>
  <c r="K5" i="5"/>
  <c r="L5" i="5" s="1"/>
  <c r="X5" i="5" l="1"/>
  <c r="Y5" i="5" s="1"/>
  <c r="Q5" i="5"/>
  <c r="Z5" i="5" l="1"/>
  <c r="AI5" i="5" l="1"/>
  <c r="AJ5" i="5" s="1"/>
  <c r="AS5" i="5"/>
  <c r="AC5" i="5"/>
  <c r="AF5" i="5"/>
  <c r="AT5" i="5"/>
  <c r="AA5" i="5"/>
  <c r="F6" i="5" l="1"/>
  <c r="B6" i="5"/>
  <c r="AV5" i="5"/>
  <c r="AG5" i="5"/>
  <c r="H6" i="5"/>
  <c r="AD5" i="5"/>
  <c r="J6" i="5" l="1"/>
  <c r="AY5" i="5"/>
  <c r="AW5" i="5" s="1"/>
  <c r="AZ5" i="5"/>
  <c r="G6" i="5" l="1"/>
  <c r="E6" i="5"/>
  <c r="C6" i="5"/>
  <c r="O6" i="5"/>
  <c r="I6" i="5"/>
  <c r="K6" i="5"/>
  <c r="L6" i="5" s="1"/>
  <c r="P6" i="5"/>
  <c r="X6" i="5" l="1"/>
  <c r="Y6" i="5" s="1"/>
  <c r="Q6" i="5"/>
  <c r="Z6" i="5" l="1"/>
  <c r="AI6" i="5" l="1"/>
  <c r="AS6" i="5"/>
  <c r="AJ6" i="5"/>
  <c r="AC6" i="5"/>
  <c r="AF6" i="5"/>
  <c r="AA6" i="5"/>
  <c r="AT6" i="5"/>
  <c r="B7" i="5" l="1"/>
  <c r="F7" i="5"/>
  <c r="AV6" i="5"/>
  <c r="H7" i="5"/>
  <c r="AG6" i="5"/>
  <c r="AD6" i="5"/>
  <c r="J7" i="5" l="1"/>
  <c r="AY6" i="5"/>
  <c r="AW6" i="5" s="1"/>
  <c r="AZ6" i="5"/>
  <c r="E7" i="5" l="1"/>
  <c r="G7" i="5"/>
  <c r="C7" i="5"/>
  <c r="O7" i="5"/>
  <c r="P7" i="5" s="1"/>
  <c r="K7" i="5"/>
  <c r="L7" i="5" s="1"/>
  <c r="I7" i="5"/>
  <c r="X7" i="5" l="1"/>
  <c r="Y7" i="5" s="1"/>
  <c r="Q7" i="5"/>
  <c r="Z7" i="5" l="1"/>
  <c r="AC7" i="5" s="1"/>
  <c r="AF7" i="5"/>
  <c r="AT7" i="5"/>
  <c r="AA7" i="5"/>
  <c r="AI7" i="5" l="1"/>
  <c r="AJ7" i="5" s="1"/>
  <c r="AS7" i="5"/>
  <c r="F8" i="5"/>
  <c r="B8" i="5"/>
  <c r="AV7" i="5"/>
  <c r="AG7" i="5"/>
  <c r="H8" i="5"/>
  <c r="AD7" i="5"/>
  <c r="J8" i="5" l="1"/>
  <c r="AY7" i="5"/>
  <c r="AW7" i="5" s="1"/>
  <c r="AZ7" i="5"/>
  <c r="G8" i="5" l="1"/>
  <c r="E8" i="5"/>
  <c r="C8" i="5"/>
  <c r="O8" i="5"/>
  <c r="P8" i="5" s="1"/>
  <c r="I8" i="5"/>
  <c r="K8" i="5"/>
  <c r="L8" i="5" s="1"/>
  <c r="X8" i="5" l="1"/>
  <c r="Y8" i="5" s="1"/>
  <c r="Q8" i="5"/>
  <c r="Z8" i="5" l="1"/>
  <c r="AF8" i="5"/>
  <c r="AC8" i="5"/>
  <c r="AA8" i="5"/>
  <c r="AT8" i="5"/>
  <c r="AI8" i="5" l="1"/>
  <c r="AJ8" i="5" s="1"/>
  <c r="AS8" i="5"/>
  <c r="B9" i="5"/>
  <c r="F9" i="5"/>
  <c r="AV8" i="5"/>
  <c r="AD8" i="5"/>
  <c r="AG8" i="5"/>
  <c r="H9" i="5"/>
  <c r="J9" i="5" l="1"/>
  <c r="AY8" i="5"/>
  <c r="AW8" i="5" s="1"/>
  <c r="AZ8" i="5"/>
  <c r="E9" i="5" l="1"/>
  <c r="G9" i="5"/>
  <c r="C9" i="5"/>
  <c r="O9" i="5"/>
  <c r="I9" i="5"/>
  <c r="K9" i="5"/>
  <c r="L9" i="5" s="1"/>
  <c r="P9" i="5"/>
  <c r="X9" i="5" l="1"/>
  <c r="Y9" i="5" s="1"/>
  <c r="Q9" i="5"/>
  <c r="Z9" i="5" l="1"/>
  <c r="AC9" i="5"/>
  <c r="AF9" i="5"/>
  <c r="AT9" i="5"/>
  <c r="AA9" i="5"/>
  <c r="AI9" i="5" l="1"/>
  <c r="AJ9" i="5" s="1"/>
  <c r="AS9" i="5"/>
  <c r="F10" i="5"/>
  <c r="B10" i="5"/>
  <c r="AV9" i="5"/>
  <c r="AG9" i="5"/>
  <c r="H10" i="5"/>
  <c r="AD9" i="5"/>
  <c r="J10" i="5" l="1"/>
  <c r="AY9" i="5"/>
  <c r="AW9" i="5" s="1"/>
  <c r="AZ9" i="5"/>
  <c r="C10" i="5" l="1"/>
  <c r="G10" i="5"/>
  <c r="E10" i="5"/>
  <c r="O10" i="5"/>
  <c r="I10" i="5"/>
  <c r="K10" i="5"/>
  <c r="L10" i="5" s="1"/>
  <c r="P10" i="5"/>
  <c r="X10" i="5" l="1"/>
  <c r="Y10" i="5" s="1"/>
  <c r="Q10" i="5"/>
  <c r="Z10" i="5" l="1"/>
  <c r="AC10" i="5" s="1"/>
  <c r="AF10" i="5" l="1"/>
  <c r="AT10" i="5"/>
  <c r="AA10" i="5"/>
  <c r="AI10" i="5"/>
  <c r="AJ10" i="5" s="1"/>
  <c r="AS10" i="5"/>
  <c r="B11" i="5"/>
  <c r="F11" i="5"/>
  <c r="AV10" i="5"/>
  <c r="AG10" i="5"/>
  <c r="H11" i="5"/>
  <c r="AD10" i="5"/>
  <c r="J11" i="5" l="1"/>
  <c r="AY10" i="5"/>
  <c r="AW10" i="5" s="1"/>
  <c r="AZ10" i="5"/>
  <c r="G11" i="5" l="1"/>
  <c r="E11" i="5"/>
  <c r="C11" i="5"/>
  <c r="O11" i="5"/>
  <c r="K11" i="5"/>
  <c r="L11" i="5" s="1"/>
  <c r="I11" i="5"/>
  <c r="P11" i="5"/>
  <c r="X11" i="5" l="1"/>
  <c r="Y11" i="5" s="1"/>
  <c r="Q11" i="5"/>
  <c r="Z11" i="5" l="1"/>
  <c r="AC11" i="5"/>
  <c r="AF11" i="5"/>
  <c r="AT11" i="5"/>
  <c r="AA11" i="5"/>
  <c r="AI11" i="5" l="1"/>
  <c r="AJ11" i="5" s="1"/>
  <c r="AS11" i="5"/>
  <c r="F12" i="5"/>
  <c r="B12" i="5"/>
  <c r="AV11" i="5"/>
  <c r="AG11" i="5"/>
  <c r="H12" i="5"/>
  <c r="AD11" i="5"/>
  <c r="J12" i="5" l="1"/>
  <c r="AY11" i="5"/>
  <c r="AW11" i="5" s="1"/>
  <c r="AZ11" i="5"/>
  <c r="G12" i="5" l="1"/>
  <c r="E12" i="5"/>
  <c r="C12" i="5"/>
  <c r="O12" i="5"/>
  <c r="P12" i="5" s="1"/>
  <c r="K12" i="5"/>
  <c r="L12" i="5" s="1"/>
  <c r="I12" i="5"/>
  <c r="X12" i="5" l="1"/>
  <c r="Y12" i="5" s="1"/>
  <c r="Q12" i="5"/>
  <c r="Z12" i="5" l="1"/>
  <c r="AF12" i="5"/>
  <c r="AC12" i="5"/>
  <c r="AA12" i="5"/>
  <c r="AT12" i="5"/>
  <c r="AI12" i="5" l="1"/>
  <c r="AJ12" i="5" s="1"/>
  <c r="AS12" i="5"/>
  <c r="B13" i="5"/>
  <c r="F13" i="5"/>
  <c r="AV12" i="5"/>
  <c r="AD12" i="5"/>
  <c r="AG12" i="5"/>
  <c r="H13" i="5"/>
  <c r="J13" i="5" l="1"/>
  <c r="AY12" i="5"/>
  <c r="AW12" i="5" s="1"/>
  <c r="AZ12" i="5"/>
  <c r="G13" i="5" l="1"/>
  <c r="E13" i="5"/>
  <c r="C13" i="5"/>
  <c r="O13" i="5"/>
  <c r="P13" i="5" s="1"/>
  <c r="K13" i="5"/>
  <c r="L13" i="5" s="1"/>
  <c r="I13" i="5"/>
  <c r="X13" i="5" l="1"/>
  <c r="Y13" i="5" s="1"/>
  <c r="Q13" i="5"/>
  <c r="Z13" i="5" l="1"/>
  <c r="AC13" i="5" s="1"/>
  <c r="AF13" i="5"/>
  <c r="AT13" i="5"/>
  <c r="AA13" i="5"/>
  <c r="AI13" i="5" l="1"/>
  <c r="AJ13" i="5" s="1"/>
  <c r="AS13" i="5"/>
  <c r="F14" i="5"/>
  <c r="B14" i="5"/>
  <c r="AG13" i="5"/>
  <c r="H14" i="5"/>
  <c r="AV13" i="5"/>
  <c r="AD13" i="5"/>
  <c r="AY13" i="5" l="1"/>
  <c r="AW13" i="5" s="1"/>
  <c r="AZ13" i="5"/>
  <c r="J14" i="5"/>
  <c r="G14" i="5" l="1"/>
  <c r="E14" i="5"/>
  <c r="C14" i="5"/>
  <c r="O14" i="5"/>
  <c r="P14" i="5" s="1"/>
  <c r="K14" i="5"/>
  <c r="L14" i="5" s="1"/>
  <c r="I14" i="5"/>
  <c r="X14" i="5" l="1"/>
  <c r="Y14" i="5" s="1"/>
  <c r="Q14" i="5"/>
  <c r="Z14" i="5" l="1"/>
  <c r="AC14" i="5" s="1"/>
  <c r="AF14" i="5"/>
  <c r="AA14" i="5"/>
  <c r="AT14" i="5"/>
  <c r="AI14" i="5" l="1"/>
  <c r="AJ14" i="5" s="1"/>
  <c r="AS14" i="5"/>
  <c r="B15" i="5"/>
  <c r="F15" i="5"/>
  <c r="AV14" i="5"/>
  <c r="H15" i="5"/>
  <c r="AG14" i="5"/>
  <c r="AD14" i="5"/>
  <c r="J15" i="5" l="1"/>
  <c r="AY14" i="5"/>
  <c r="AW14" i="5" s="1"/>
  <c r="AZ14" i="5"/>
  <c r="E15" i="5" l="1"/>
  <c r="C15" i="5"/>
  <c r="G15" i="5"/>
  <c r="O15" i="5"/>
  <c r="P15" i="5" s="1"/>
  <c r="I15" i="5"/>
  <c r="K15" i="5"/>
  <c r="L15" i="5" s="1"/>
  <c r="X15" i="5" l="1"/>
  <c r="Y15" i="5" s="1"/>
  <c r="Q15" i="5"/>
  <c r="Z15" i="5" l="1"/>
  <c r="AC15" i="5"/>
  <c r="AF15" i="5"/>
  <c r="AT15" i="5"/>
  <c r="AA15" i="5"/>
  <c r="AI15" i="5" l="1"/>
  <c r="AJ15" i="5" s="1"/>
  <c r="AS15" i="5"/>
  <c r="F16" i="5"/>
  <c r="B16" i="5"/>
  <c r="AV15" i="5"/>
  <c r="AG15" i="5"/>
  <c r="H16" i="5"/>
  <c r="AD15" i="5"/>
  <c r="J16" i="5" l="1"/>
  <c r="AY15" i="5"/>
  <c r="AW15" i="5" s="1"/>
  <c r="AZ15" i="5"/>
  <c r="C16" i="5" l="1"/>
  <c r="G16" i="5"/>
  <c r="E16" i="5"/>
  <c r="O16" i="5"/>
  <c r="P16" i="5" s="1"/>
  <c r="K16" i="5"/>
  <c r="L16" i="5" s="1"/>
  <c r="I16" i="5"/>
  <c r="X16" i="5" l="1"/>
  <c r="Y16" i="5" s="1"/>
  <c r="Q16" i="5"/>
  <c r="Z16" i="5" l="1"/>
  <c r="AC16" i="5"/>
  <c r="AF16" i="5"/>
  <c r="AA16" i="5"/>
  <c r="AT16" i="5"/>
  <c r="AI16" i="5" l="1"/>
  <c r="AJ16" i="5" s="1"/>
  <c r="AS16" i="5"/>
  <c r="B17" i="5"/>
  <c r="F17" i="5"/>
  <c r="AV16" i="5"/>
  <c r="AG16" i="5"/>
  <c r="H17" i="5"/>
  <c r="AD16" i="5"/>
  <c r="J17" i="5" l="1"/>
  <c r="AY16" i="5"/>
  <c r="AW16" i="5" s="1"/>
  <c r="AZ16" i="5"/>
  <c r="E17" i="5" l="1"/>
  <c r="G17" i="5"/>
  <c r="C17" i="5"/>
  <c r="O17" i="5"/>
  <c r="P17" i="5" s="1"/>
  <c r="I17" i="5"/>
  <c r="K17" i="5"/>
  <c r="L17" i="5" s="1"/>
  <c r="X17" i="5" l="1"/>
  <c r="Y17" i="5" s="1"/>
  <c r="Q17" i="5"/>
  <c r="Z17" i="5" l="1"/>
  <c r="AC17" i="5"/>
  <c r="AF17" i="5"/>
  <c r="AA17" i="5"/>
  <c r="AT17" i="5"/>
  <c r="AI17" i="5" l="1"/>
  <c r="AJ17" i="5" s="1"/>
  <c r="AS17" i="5"/>
  <c r="F18" i="5"/>
  <c r="B18" i="5"/>
  <c r="AV17" i="5"/>
  <c r="AG17" i="5"/>
  <c r="H18" i="5"/>
  <c r="AD17" i="5"/>
  <c r="J18" i="5" l="1"/>
  <c r="AY17" i="5"/>
  <c r="AW17" i="5" s="1"/>
  <c r="AZ17" i="5"/>
  <c r="C18" i="5" l="1"/>
  <c r="G18" i="5"/>
  <c r="E18" i="5"/>
  <c r="O18" i="5"/>
  <c r="P18" i="5" s="1"/>
  <c r="I18" i="5"/>
  <c r="K18" i="5"/>
  <c r="L18" i="5" s="1"/>
  <c r="X18" i="5" l="1"/>
  <c r="Y18" i="5" s="1"/>
  <c r="Q18" i="5"/>
  <c r="Z18" i="5" l="1"/>
  <c r="AF18" i="5" s="1"/>
  <c r="AC18" i="5"/>
  <c r="AT18" i="5"/>
  <c r="AA18" i="5"/>
  <c r="AI18" i="5" l="1"/>
  <c r="AJ18" i="5" s="1"/>
  <c r="AS18" i="5"/>
  <c r="B19" i="5"/>
  <c r="F19" i="5"/>
  <c r="AV18" i="5"/>
  <c r="AD18" i="5"/>
  <c r="H19" i="5"/>
  <c r="AG18" i="5"/>
  <c r="J19" i="5" l="1"/>
  <c r="AY18" i="5"/>
  <c r="AW18" i="5" s="1"/>
  <c r="AZ18" i="5"/>
  <c r="G19" i="5" l="1"/>
  <c r="E19" i="5"/>
  <c r="C19" i="5"/>
  <c r="O19" i="5"/>
  <c r="P19" i="5" s="1"/>
  <c r="I19" i="5"/>
  <c r="K19" i="5"/>
  <c r="L19" i="5" s="1"/>
  <c r="X19" i="5" l="1"/>
  <c r="Y19" i="5" s="1"/>
  <c r="Q19" i="5"/>
  <c r="Z19" i="5" l="1"/>
  <c r="AC19" i="5" s="1"/>
  <c r="AF19" i="5"/>
  <c r="AA19" i="5"/>
  <c r="AT19" i="5"/>
  <c r="AI19" i="5" l="1"/>
  <c r="AJ19" i="5" s="1"/>
  <c r="AS19" i="5"/>
  <c r="F20" i="5"/>
  <c r="B20" i="5"/>
  <c r="AV19" i="5"/>
  <c r="AG19" i="5"/>
  <c r="H20" i="5"/>
  <c r="AD19" i="5"/>
  <c r="J20" i="5" l="1"/>
  <c r="AY19" i="5"/>
  <c r="AW19" i="5" s="1"/>
  <c r="AZ19" i="5"/>
  <c r="G20" i="5" l="1"/>
  <c r="C20" i="5"/>
  <c r="E20" i="5"/>
  <c r="O20" i="5"/>
  <c r="P20" i="5" s="1"/>
  <c r="K20" i="5"/>
  <c r="L20" i="5" s="1"/>
  <c r="I20" i="5"/>
  <c r="X20" i="5" l="1"/>
  <c r="Y20" i="5" s="1"/>
  <c r="Q20" i="5"/>
  <c r="Z20" i="5" l="1"/>
  <c r="AF20" i="5"/>
  <c r="AC20" i="5"/>
  <c r="AT20" i="5"/>
  <c r="AA20" i="5"/>
  <c r="AI20" i="5" l="1"/>
  <c r="AJ20" i="5" s="1"/>
  <c r="AS20" i="5"/>
  <c r="B21" i="5"/>
  <c r="F21" i="5"/>
  <c r="AV20" i="5"/>
  <c r="AD20" i="5"/>
  <c r="AG20" i="5"/>
  <c r="H21" i="5"/>
  <c r="J21" i="5" l="1"/>
  <c r="AY20" i="5"/>
  <c r="AW20" i="5" s="1"/>
  <c r="AZ20" i="5"/>
  <c r="G21" i="5" l="1"/>
  <c r="E21" i="5"/>
  <c r="C21" i="5"/>
  <c r="O21" i="5"/>
  <c r="I21" i="5"/>
  <c r="K21" i="5"/>
  <c r="L21" i="5" s="1"/>
  <c r="P21" i="5"/>
  <c r="X21" i="5" l="1"/>
  <c r="Y21" i="5" s="1"/>
  <c r="Q21" i="5"/>
  <c r="Z21" i="5" l="1"/>
  <c r="AC21" i="5"/>
  <c r="AF21" i="5"/>
  <c r="AA21" i="5"/>
  <c r="AT21" i="5"/>
  <c r="AI21" i="5" l="1"/>
  <c r="AJ21" i="5" s="1"/>
  <c r="AS21" i="5"/>
  <c r="F22" i="5"/>
  <c r="B22" i="5"/>
  <c r="AV21" i="5"/>
  <c r="AG21" i="5"/>
  <c r="H22" i="5"/>
  <c r="AD21" i="5"/>
  <c r="J22" i="5" l="1"/>
  <c r="AY21" i="5"/>
  <c r="AW21" i="5" s="1"/>
  <c r="AZ21" i="5"/>
  <c r="G22" i="5" l="1"/>
  <c r="E22" i="5"/>
  <c r="C22" i="5"/>
  <c r="O22" i="5"/>
  <c r="P22" i="5" s="1"/>
  <c r="K22" i="5"/>
  <c r="L22" i="5" s="1"/>
  <c r="I22" i="5"/>
  <c r="X22" i="5" l="1"/>
  <c r="Y22" i="5" s="1"/>
  <c r="Q22" i="5"/>
  <c r="Z22" i="5" l="1"/>
  <c r="AF22" i="5" s="1"/>
  <c r="AC22" i="5"/>
  <c r="AT22" i="5"/>
  <c r="AA22" i="5"/>
  <c r="AI22" i="5" l="1"/>
  <c r="AJ22" i="5" s="1"/>
  <c r="AS22" i="5"/>
  <c r="B23" i="5"/>
  <c r="F23" i="5"/>
  <c r="AV22" i="5"/>
  <c r="AD22" i="5"/>
  <c r="AG22" i="5"/>
  <c r="H23" i="5"/>
  <c r="J23" i="5" l="1"/>
  <c r="AY22" i="5"/>
  <c r="AW22" i="5" s="1"/>
  <c r="AZ22" i="5"/>
  <c r="E23" i="5" l="1"/>
  <c r="C23" i="5"/>
  <c r="G23" i="5"/>
  <c r="O23" i="5"/>
  <c r="P23" i="5" s="1"/>
  <c r="I23" i="5"/>
  <c r="K23" i="5"/>
  <c r="L23" i="5" s="1"/>
  <c r="X23" i="5" l="1"/>
  <c r="Y23" i="5" s="1"/>
  <c r="Q23" i="5"/>
  <c r="Z23" i="5" l="1"/>
  <c r="AC23" i="5"/>
  <c r="AF23" i="5"/>
  <c r="AA23" i="5"/>
  <c r="AT23" i="5"/>
  <c r="AI23" i="5" l="1"/>
  <c r="AJ23" i="5" s="1"/>
  <c r="AS23" i="5"/>
  <c r="F24" i="5"/>
  <c r="B24" i="5"/>
  <c r="AV23" i="5"/>
  <c r="H24" i="5"/>
  <c r="AG23" i="5"/>
  <c r="AD23" i="5"/>
  <c r="J24" i="5" l="1"/>
  <c r="AY23" i="5"/>
  <c r="AW23" i="5" s="1"/>
  <c r="AZ23" i="5"/>
  <c r="G24" i="5" l="1"/>
  <c r="E24" i="5"/>
  <c r="C24" i="5"/>
  <c r="O24" i="5"/>
  <c r="P24" i="5" s="1"/>
  <c r="I24" i="5"/>
  <c r="K24" i="5"/>
  <c r="L24" i="5" s="1"/>
  <c r="X24" i="5" l="1"/>
  <c r="Y24" i="5" s="1"/>
  <c r="Q24" i="5"/>
  <c r="Z24" i="5" l="1"/>
  <c r="AF24" i="5"/>
  <c r="AC24" i="5"/>
  <c r="AT24" i="5"/>
  <c r="AA24" i="5"/>
  <c r="AI24" i="5" l="1"/>
  <c r="AJ24" i="5" s="1"/>
  <c r="AS24" i="5"/>
  <c r="B25" i="5"/>
  <c r="F25" i="5"/>
  <c r="AV24" i="5"/>
  <c r="AD24" i="5"/>
  <c r="H25" i="5"/>
  <c r="AG24" i="5"/>
  <c r="J25" i="5" l="1"/>
  <c r="AZ24" i="5"/>
  <c r="AY24" i="5"/>
  <c r="AW24" i="5" s="1"/>
  <c r="E25" i="5" l="1"/>
  <c r="G25" i="5"/>
  <c r="C25" i="5"/>
  <c r="O25" i="5"/>
  <c r="P25" i="5" s="1"/>
  <c r="I25" i="5"/>
  <c r="K25" i="5"/>
  <c r="L25" i="5" s="1"/>
  <c r="X25" i="5" l="1"/>
  <c r="Y25" i="5" s="1"/>
  <c r="Q25" i="5"/>
  <c r="Z25" i="5" l="1"/>
  <c r="AF25" i="5"/>
  <c r="AC25" i="5"/>
  <c r="AA25" i="5"/>
  <c r="AT25" i="5"/>
  <c r="AI25" i="5" l="1"/>
  <c r="AJ25" i="5" s="1"/>
  <c r="AS25" i="5"/>
  <c r="F26" i="5"/>
  <c r="B26" i="5"/>
  <c r="AV25" i="5"/>
  <c r="AD25" i="5"/>
  <c r="H26" i="5"/>
  <c r="AG25" i="5"/>
  <c r="J26" i="5" l="1"/>
  <c r="AY25" i="5"/>
  <c r="AW25" i="5" s="1"/>
  <c r="AZ25" i="5"/>
  <c r="C26" i="5" l="1"/>
  <c r="G26" i="5"/>
  <c r="E26" i="5"/>
  <c r="O26" i="5"/>
  <c r="I26" i="5"/>
  <c r="K26" i="5"/>
  <c r="L26" i="5" s="1"/>
  <c r="P26" i="5"/>
  <c r="X26" i="5" l="1"/>
  <c r="Y26" i="5" s="1"/>
  <c r="Q26" i="5"/>
  <c r="Z26" i="5" l="1"/>
  <c r="AC26" i="5" s="1"/>
  <c r="AA26" i="5"/>
  <c r="AF26" i="5" l="1"/>
  <c r="AT26" i="5"/>
  <c r="AI26" i="5"/>
  <c r="AJ26" i="5" s="1"/>
  <c r="AS26" i="5"/>
  <c r="F27" i="5"/>
  <c r="B27" i="5"/>
  <c r="AV26" i="5"/>
  <c r="H27" i="5"/>
  <c r="AG26" i="5"/>
  <c r="AD26" i="5"/>
  <c r="J27" i="5" l="1"/>
  <c r="AY26" i="5"/>
  <c r="AW26" i="5" s="1"/>
  <c r="AZ26" i="5"/>
  <c r="G27" i="5" l="1"/>
  <c r="E27" i="5"/>
  <c r="C27" i="5"/>
  <c r="O27" i="5"/>
  <c r="P27" i="5" s="1"/>
  <c r="I27" i="5"/>
  <c r="K27" i="5"/>
  <c r="L27" i="5" s="1"/>
  <c r="X27" i="5" l="1"/>
  <c r="Y27" i="5" s="1"/>
  <c r="Q27" i="5"/>
  <c r="Z27" i="5" l="1"/>
  <c r="AF27" i="5" s="1"/>
  <c r="AC27" i="5"/>
  <c r="AA27" i="5"/>
  <c r="AT27" i="5"/>
  <c r="AI27" i="5" l="1"/>
  <c r="AJ27" i="5" s="1"/>
  <c r="AS27" i="5"/>
  <c r="AV27" i="5"/>
  <c r="B28" i="5"/>
  <c r="F28" i="5"/>
  <c r="AY27" i="5"/>
  <c r="AZ27" i="5"/>
  <c r="AD27" i="5"/>
  <c r="H28" i="5"/>
  <c r="AG27" i="5"/>
  <c r="AW27" i="5" l="1"/>
  <c r="J28" i="5"/>
  <c r="G28" i="5" l="1"/>
  <c r="C28" i="5"/>
  <c r="E28" i="5"/>
  <c r="O28" i="5"/>
  <c r="I28" i="5"/>
  <c r="K28" i="5"/>
  <c r="L28" i="5" s="1"/>
  <c r="P28" i="5"/>
  <c r="X28" i="5" l="1"/>
  <c r="Y28" i="5" s="1"/>
  <c r="Q28" i="5"/>
  <c r="Z28" i="5" l="1"/>
  <c r="Y29" i="5"/>
  <c r="AI28" i="5" l="1"/>
  <c r="AS28" i="5"/>
  <c r="AI29" i="5"/>
  <c r="AJ28" i="5"/>
  <c r="AT28" i="5"/>
  <c r="AC28" i="5"/>
  <c r="AF28" i="5"/>
  <c r="Z29" i="5"/>
  <c r="AA28" i="5"/>
  <c r="AS29" i="5" l="1"/>
  <c r="AV28" i="5"/>
  <c r="AF29" i="5"/>
  <c r="AG28" i="5"/>
  <c r="AC29" i="5"/>
  <c r="AD28" i="5"/>
  <c r="AY28" i="5"/>
  <c r="AW28" i="5" s="1"/>
  <c r="AZ2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tc={2D70584C-2BBB-4781-BCA3-FE0D37C25C96}</author>
    <author>tc={03EA1D3E-4088-4BB5-99BD-17C87736FAB2}</author>
    <author>tc={897B3CD6-0E15-4BC8-8612-98D4016B4F7B}</author>
    <author>tc={D2B53430-5BB7-4F8D-B3B7-E2BC7FBB39FD}</author>
    <author>tc={6144AC60-4439-4D69-A2C3-5AAA5C064B56}</author>
    <author>tc={13F8A790-F48C-45A8-B641-AB936A99A250}</author>
    <author>tc={374DCB83-FD89-4736-9428-0E517C097397}</author>
    <author>tc={5A160585-D75C-4DC4-95CC-CED810BC9BDA}</author>
    <author>tc={C209E1F1-E278-4890-9D75-4A1122E1C77A}</author>
    <author>tc={5D304D58-87AB-4449-A24A-C47E555CC0F4}</author>
    <author>tc={06BAEB49-D948-44B1-A8B6-A4465EC6A282}</author>
    <author>tc={C0C74C50-C8D2-4403-933A-1CF471ABDE2A}</author>
    <author>tc={092BE138-9A0F-4527-BDF2-7764AE22F62C}</author>
    <author>tc={17111323-528A-4FE7-BA74-4AC1D11B2188}</author>
    <author>tc={688BB1A3-1819-4DE5-8E08-55749D688758}</author>
    <author>tc={940C69EC-DEF0-4EC1-A5F9-B53895E606F5}</author>
    <author>tc={03F0B3D2-A0AE-4A50-BC53-273EE5E45329}</author>
    <author>tc={4CFEDC8D-A9F2-448D-BC71-15C330062398}</author>
    <author>tc={15C81EB0-D274-44BE-A6E4-A03F43B24D5F}</author>
    <author>tc={0E1A2208-4B4D-4EE8-9B80-F3990B56F5F5}</author>
    <author>tc={323B015A-3400-4201-AFA0-28B6B8C45B3F}</author>
  </authors>
  <commentList>
    <comment ref="A2" authorId="0" shapeId="0" xr:uid="{2D70584C-2BBB-4781-BCA3-FE0D37C25C96}">
      <text>
        <t>[Threaded comment]
Your version of Excel allows you to read this threaded comment; however, any edits to it will get removed if the file is opened in a newer version of Excel. Learn more: https://go.microsoft.com/fwlink/?linkid=870924
Comment:
    Initial Start date of major period, normally one year.</t>
      </text>
    </comment>
    <comment ref="B2" authorId="1" shapeId="0" xr:uid="{03EA1D3E-4088-4BB5-99BD-17C87736FAB2}">
      <text>
        <t>[Threaded comment]
Your version of Excel allows you to read this threaded comment; however, any edits to it will get removed if the file is opened in a newer version of Excel. Learn more: https://go.microsoft.com/fwlink/?linkid=870924
Comment:
    Balance of all taxable assets for each sub period.</t>
      </text>
    </comment>
    <comment ref="D2" authorId="2" shapeId="0" xr:uid="{897B3CD6-0E15-4BC8-8612-98D4016B4F7B}">
      <text>
        <t>[Threaded comment]
Your version of Excel allows you to read this threaded comment; however, any edits to it will get removed if the file is opened in a newer version of Excel. Learn more: https://go.microsoft.com/fwlink/?linkid=870924
Comment:
    Balance of all tax free assets for each sub period.</t>
      </text>
    </comment>
    <comment ref="F2" authorId="3" shapeId="0" xr:uid="{D2B53430-5BB7-4F8D-B3B7-E2BC7FBB39FD}">
      <text>
        <t>[Threaded comment]
Your version of Excel allows you to read this threaded comment; however, any edits to it will get removed if the file is opened in a newer version of Excel. Learn more: https://go.microsoft.com/fwlink/?linkid=870924
Comment:
    Balance of all tax deferred assets for each sub period.</t>
      </text>
    </comment>
    <comment ref="H2" authorId="4" shapeId="0" xr:uid="{6144AC60-4439-4D69-A2C3-5AAA5C064B56}">
      <text>
        <t>[Threaded comment]
Your version of Excel allows you to read this threaded comment; however, any edits to it will get removed if the file is opened in a newer version of Excel. Learn more: https://go.microsoft.com/fwlink/?linkid=870924
Comment:
    Balance of all cash assets for each sub period.</t>
      </text>
    </comment>
    <comment ref="M2" authorId="5" shapeId="0" xr:uid="{13F8A790-F48C-45A8-B641-AB936A99A250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sub periods to be calculated.</t>
      </text>
    </comment>
    <comment ref="N2" authorId="6" shapeId="0" xr:uid="{374DCB83-FD89-4736-9428-0E517C097397}">
      <text>
        <t>[Threaded comment]
Your version of Excel allows you to read this threaded comment; however, any edits to it will get removed if the file is opened in a newer version of Excel. Learn more: https://go.microsoft.com/fwlink/?linkid=870924
Comment:
    CPI-U for sub period. I pull these numbers from here: https://www.bls.gov/cpi/latest-numbers.htm. I use CPI-U, US CITY AVERAGE, ALL ITEMS NSA.</t>
      </text>
    </comment>
    <comment ref="O2" authorId="7" shapeId="0" xr:uid="{5A160585-D75C-4DC4-95CC-CED810BC9BDA}">
      <text>
        <t>[Threaded comment]
Your version of Excel allows you to read this threaded comment; however, any edits to it will get removed if the file is opened in a newer version of Excel. Learn more: https://go.microsoft.com/fwlink/?linkid=870924
Comment:
    Initial withdrawal rate. Using the GK guardrails you may use a higher withdrawal rate as it will correct up or down between the limits you set.</t>
      </text>
    </comment>
    <comment ref="R2" authorId="8" shapeId="0" xr:uid="{C209E1F1-E278-4890-9D75-4A1122E1C77A}">
      <text>
        <t>[Threaded comment]
Your version of Excel allows you to read this threaded comment; however, any edits to it will get removed if the file is opened in a newer version of Excel. Learn more: https://go.microsoft.com/fwlink/?linkid=870924
Comment:
    Upper limit guardrail.</t>
      </text>
    </comment>
    <comment ref="T2" authorId="9" shapeId="0" xr:uid="{5D304D58-87AB-4449-A24A-C47E555CC0F4}">
      <text>
        <t>[Threaded comment]
Your version of Excel allows you to read this threaded comment; however, any edits to it will get removed if the file is opened in a newer version of Excel. Learn more: https://go.microsoft.com/fwlink/?linkid=870924
Comment:
    Lower limit guardrail.</t>
      </text>
    </comment>
    <comment ref="V2" authorId="10" shapeId="0" xr:uid="{06BAEB49-D948-44B1-A8B6-A4465EC6A282}">
      <text>
        <t>[Threaded comment]
Your version of Excel allows you to read this threaded comment; however, any edits to it will get removed if the file is opened in a newer version of Excel. Learn more: https://go.microsoft.com/fwlink/?linkid=870924
Comment:
    GK pay cut if upper limit is exceeded.</t>
      </text>
    </comment>
    <comment ref="W2" authorId="11" shapeId="0" xr:uid="{C0C74C50-C8D2-4403-933A-1CF471ABDE2A}">
      <text>
        <t>[Threaded comment]
Your version of Excel allows you to read this threaded comment; however, any edits to it will get removed if the file is opened in a newer version of Excel. Learn more: https://go.microsoft.com/fwlink/?linkid=870924
Comment:
    GK pay raise if lower limit is exceeded.</t>
      </text>
    </comment>
    <comment ref="AB2" authorId="12" shapeId="0" xr:uid="{092BE138-9A0F-4527-BDF2-7764AE22F62C}">
      <text>
        <t>[Threaded comment]
Your version of Excel allows you to read this threaded comment; however, any edits to it will get removed if the file is opened in a newer version of Excel. Learn more: https://go.microsoft.com/fwlink/?linkid=870924
Comment:
    Percent of pay to be reinvested. In my case I reinvest in my taxable as it is hyper tax efficient using Indexed ETFs and Wealthfront's parametric rebalancing and tax loss harvesting.</t>
      </text>
    </comment>
    <comment ref="AE2" authorId="13" shapeId="0" xr:uid="{17111323-528A-4FE7-BA74-4AC1D11B2188}">
      <text>
        <t>[Threaded comment]
Your version of Excel allows you to read this threaded comment; however, any edits to it will get removed if the file is opened in a newer version of Excel. Learn more: https://go.microsoft.com/fwlink/?linkid=870924
Comment:
    Cash saved to be pulled for spending when markets are performing poorly.</t>
      </text>
    </comment>
    <comment ref="AH2" authorId="14" shapeId="0" xr:uid="{688BB1A3-1819-4DE5-8E08-55749D68875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fuel for fun!</t>
      </text>
    </comment>
    <comment ref="AK2" authorId="15" shapeId="0" xr:uid="{940C69EC-DEF0-4EC1-A5F9-B53895E606F5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your annual pension amount divided by number of annual periods considered.</t>
      </text>
    </comment>
    <comment ref="AM2" authorId="16" shapeId="0" xr:uid="{03F0B3D2-A0AE-4A50-BC53-273EE5E45329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your annual social security benefit amount divided by number of annual periods considered.</t>
      </text>
    </comment>
    <comment ref="AO2" authorId="17" shapeId="0" xr:uid="{4CFEDC8D-A9F2-448D-BC71-15C33006239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your ROTH conversion amount for this period.</t>
      </text>
    </comment>
    <comment ref="AQ2" authorId="18" shapeId="0" xr:uid="{15C81EB0-D274-44BE-A6E4-A03F43B24D5F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other income each period.</t>
      </text>
    </comment>
    <comment ref="AU2" authorId="19" shapeId="0" xr:uid="{0E1A2208-4B4D-4EE8-9B80-F3990B56F5F5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Estimated tax deductions. I normally use the last years as a starting point.</t>
      </text>
    </comment>
    <comment ref="AX2" authorId="20" shapeId="0" xr:uid="{323B015A-3400-4201-AFA0-28B6B8C45B3F}">
      <text>
        <t>[Threaded comment]
Your version of Excel allows you to read this threaded comment; however, any edits to it will get removed if the file is opened in a newer version of Excel. Learn more: https://go.microsoft.com/fwlink/?linkid=870924
Comment:
    Federal Tax bracket to fill up.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tc={E8E2A360-D9B9-4F55-B08D-ED37F67E4BFD}</author>
    <author>tc={469429CA-421D-4C00-8CAF-3FC8FA57257C}</author>
    <author>tc={27190C31-7B3B-471E-8ECF-4DD04C8645BE}</author>
    <author>tc={2F71B7EE-C89B-47A6-A53C-BA4B4BAF7323}</author>
    <author>tc={1B0F4FE5-9DBE-4133-BBA9-0A8E046FFD5D}</author>
    <author>tc={14C3E458-04FF-418B-BA8A-BC46500F5141}</author>
    <author>tc={0CDF4138-AD82-45BE-B32E-0E6F25CC6B80}</author>
    <author>tc={ABF37B12-8307-4CF9-9A3C-7B8C270634EE}</author>
    <author>tc={2C9D0E6E-4547-4D5E-B13F-CEC9262BC4CF}</author>
    <author>tc={3F21706C-E8AE-44E6-AD42-BD140C5D75D4}</author>
    <author>tc={ADCE18C0-05FE-4BEE-A78D-F1B12DDFDD28}</author>
    <author>tc={8C4E631F-81D5-48CF-B1FE-1CA8F3971C89}</author>
    <author>tc={3A437142-72D5-4B6C-B9E9-C8CA15FBEC8A}</author>
    <author>tc={A119BD32-FA64-412D-9B22-85CE1AFF4113}</author>
    <author>tc={0C6D8F6D-28D8-4C62-8270-9F32D5429BE7}</author>
    <author>tc={6010467D-2107-4BA3-AA4E-570A29DD21B0}</author>
    <author>tc={625E2A4B-FE8E-4471-8408-AB44089E9231}</author>
    <author>tc={680283B2-FF3D-43B1-8ED0-B250E6BB7A89}</author>
    <author>tc={453BC458-DB5F-4A04-A574-FA9A01ECF481}</author>
    <author>tc={F551D2ED-3197-4CD1-BCEC-450943EB6C80}</author>
    <author>tc={8D5DF3E8-9005-4CDF-B6AF-527F4CF24218}</author>
  </authors>
  <commentList>
    <comment ref="A2" authorId="0" shapeId="0" xr:uid="{E8E2A360-D9B9-4F55-B08D-ED37F67E4BFD}">
      <text>
        <t>[Threaded comment]
Your version of Excel allows you to read this threaded comment; however, any edits to it will get removed if the file is opened in a newer version of Excel. Learn more: https://go.microsoft.com/fwlink/?linkid=870924
Comment:
    Initial Start date of major period, normally one year.</t>
      </text>
    </comment>
    <comment ref="B2" authorId="1" shapeId="0" xr:uid="{469429CA-421D-4C00-8CAF-3FC8FA57257C}">
      <text>
        <t>[Threaded comment]
Your version of Excel allows you to read this threaded comment; however, any edits to it will get removed if the file is opened in a newer version of Excel. Learn more: https://go.microsoft.com/fwlink/?linkid=870924
Comment:
    Balance of all taxable assets for each sub period.</t>
      </text>
    </comment>
    <comment ref="D2" authorId="2" shapeId="0" xr:uid="{27190C31-7B3B-471E-8ECF-4DD04C8645BE}">
      <text>
        <t>[Threaded comment]
Your version of Excel allows you to read this threaded comment; however, any edits to it will get removed if the file is opened in a newer version of Excel. Learn more: https://go.microsoft.com/fwlink/?linkid=870924
Comment:
    Balance of all tax free assets for each sub period.</t>
      </text>
    </comment>
    <comment ref="F2" authorId="3" shapeId="0" xr:uid="{2F71B7EE-C89B-47A6-A53C-BA4B4BAF7323}">
      <text>
        <t>[Threaded comment]
Your version of Excel allows you to read this threaded comment; however, any edits to it will get removed if the file is opened in a newer version of Excel. Learn more: https://go.microsoft.com/fwlink/?linkid=870924
Comment:
    Balance of all tax deferred assets for each sub period.</t>
      </text>
    </comment>
    <comment ref="H2" authorId="4" shapeId="0" xr:uid="{1B0F4FE5-9DBE-4133-BBA9-0A8E046FFD5D}">
      <text>
        <t>[Threaded comment]
Your version of Excel allows you to read this threaded comment; however, any edits to it will get removed if the file is opened in a newer version of Excel. Learn more: https://go.microsoft.com/fwlink/?linkid=870924
Comment:
    Balance of all cash assets for each sub period.</t>
      </text>
    </comment>
    <comment ref="M2" authorId="5" shapeId="0" xr:uid="{14C3E458-04FF-418B-BA8A-BC46500F5141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sub periods to be calculated.</t>
      </text>
    </comment>
    <comment ref="N2" authorId="6" shapeId="0" xr:uid="{0CDF4138-AD82-45BE-B32E-0E6F25CC6B80}">
      <text>
        <t>[Threaded comment]
Your version of Excel allows you to read this threaded comment; however, any edits to it will get removed if the file is opened in a newer version of Excel. Learn more: https://go.microsoft.com/fwlink/?linkid=870924
Comment:
    CPI-U for sub period. I pull these numbers from here: https://www.bls.gov/cpi/latest-numbers.htm. I use CPI-U, US CITY AVERAGE, ALL ITEMS NSA.</t>
      </text>
    </comment>
    <comment ref="O2" authorId="7" shapeId="0" xr:uid="{ABF37B12-8307-4CF9-9A3C-7B8C270634EE}">
      <text>
        <t>[Threaded comment]
Your version of Excel allows you to read this threaded comment; however, any edits to it will get removed if the file is opened in a newer version of Excel. Learn more: https://go.microsoft.com/fwlink/?linkid=870924
Comment:
    Initial withdrawal rate. Using the GK guardrails you may use a higher withdrawal rate as it will correct up or down between the limits you set.</t>
      </text>
    </comment>
    <comment ref="R2" authorId="8" shapeId="0" xr:uid="{2C9D0E6E-4547-4D5E-B13F-CEC9262BC4CF}">
      <text>
        <t>[Threaded comment]
Your version of Excel allows you to read this threaded comment; however, any edits to it will get removed if the file is opened in a newer version of Excel. Learn more: https://go.microsoft.com/fwlink/?linkid=870924
Comment:
    Upper limit guardrail.</t>
      </text>
    </comment>
    <comment ref="T2" authorId="9" shapeId="0" xr:uid="{3F21706C-E8AE-44E6-AD42-BD140C5D75D4}">
      <text>
        <t>[Threaded comment]
Your version of Excel allows you to read this threaded comment; however, any edits to it will get removed if the file is opened in a newer version of Excel. Learn more: https://go.microsoft.com/fwlink/?linkid=870924
Comment:
    Lower limit guardrail.</t>
      </text>
    </comment>
    <comment ref="V2" authorId="10" shapeId="0" xr:uid="{ADCE18C0-05FE-4BEE-A78D-F1B12DDFDD28}">
      <text>
        <t>[Threaded comment]
Your version of Excel allows you to read this threaded comment; however, any edits to it will get removed if the file is opened in a newer version of Excel. Learn more: https://go.microsoft.com/fwlink/?linkid=870924
Comment:
    GK pay cut if upper limit is exceeded.</t>
      </text>
    </comment>
    <comment ref="W2" authorId="11" shapeId="0" xr:uid="{8C4E631F-81D5-48CF-B1FE-1CA8F3971C89}">
      <text>
        <t>[Threaded comment]
Your version of Excel allows you to read this threaded comment; however, any edits to it will get removed if the file is opened in a newer version of Excel. Learn more: https://go.microsoft.com/fwlink/?linkid=870924
Comment:
    GK pay raise if lower limit is exceeded.</t>
      </text>
    </comment>
    <comment ref="AB2" authorId="12" shapeId="0" xr:uid="{3A437142-72D5-4B6C-B9E9-C8CA15FBEC8A}">
      <text>
        <t>[Threaded comment]
Your version of Excel allows you to read this threaded comment; however, any edits to it will get removed if the file is opened in a newer version of Excel. Learn more: https://go.microsoft.com/fwlink/?linkid=870924
Comment:
    Percent of pay to be reinvested. In my case I reinvest in my taxable as it is hyper tax efficient using Indexed ETFs and Wealthfront's parametric rebalancing and tax loss harvesting.</t>
      </text>
    </comment>
    <comment ref="AE2" authorId="13" shapeId="0" xr:uid="{A119BD32-FA64-412D-9B22-85CE1AFF4113}">
      <text>
        <t>[Threaded comment]
Your version of Excel allows you to read this threaded comment; however, any edits to it will get removed if the file is opened in a newer version of Excel. Learn more: https://go.microsoft.com/fwlink/?linkid=870924
Comment:
    Cash saved to be pulled for spending when markets are performing poorly.</t>
      </text>
    </comment>
    <comment ref="AH2" authorId="14" shapeId="0" xr:uid="{0C6D8F6D-28D8-4C62-8270-9F32D5429BE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fuel for fun!</t>
      </text>
    </comment>
    <comment ref="AK2" authorId="15" shapeId="0" xr:uid="{6010467D-2107-4BA3-AA4E-570A29DD21B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your annual pension amount divided by number of annual periods considered.</t>
      </text>
    </comment>
    <comment ref="AM2" authorId="16" shapeId="0" xr:uid="{625E2A4B-FE8E-4471-8408-AB44089E9231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your annual social security benefit amount divided by number of annual periods considered.</t>
      </text>
    </comment>
    <comment ref="AO2" authorId="17" shapeId="0" xr:uid="{680283B2-FF3D-43B1-8ED0-B250E6BB7A89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your ROTH conversion amount for this period.</t>
      </text>
    </comment>
    <comment ref="AQ2" authorId="18" shapeId="0" xr:uid="{453BC458-DB5F-4A04-A574-FA9A01ECF481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other income each period.</t>
      </text>
    </comment>
    <comment ref="AU2" authorId="19" shapeId="0" xr:uid="{F551D2ED-3197-4CD1-BCEC-450943EB6C80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Estimated tax deductions. I normally use the last years as a starting point.</t>
      </text>
    </comment>
    <comment ref="AX2" authorId="20" shapeId="0" xr:uid="{8D5DF3E8-9005-4CDF-B6AF-527F4CF24218}">
      <text>
        <t>[Threaded comment]
Your version of Excel allows you to read this threaded comment; however, any edits to it will get removed if the file is opened in a newer version of Excel. Learn more: https://go.microsoft.com/fwlink/?linkid=870924
Comment:
    Federal Tax bracket to fill up.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tc={82FE905F-1267-40A2-9EF5-397B2D9C448A}</author>
    <author>tc={DD9EFA68-B7C4-4879-8A28-1883E4452601}</author>
    <author>tc={6AB32912-D68A-4F20-973E-53D9FFF35436}</author>
    <author>tc={4830FC16-FA10-41FA-AE82-2CC1619ECD74}</author>
    <author>tc={ABBA479F-FA35-42E5-8051-C541C6528FB7}</author>
    <author>tc={6770467F-957D-4246-90BC-41E8A6EC6F8C}</author>
    <author>tc={C707A9A2-C941-414A-AF73-369F0647D043}</author>
    <author>tc={2C9284D4-74EA-4BC3-8097-07EF79B703F6}</author>
    <author>tc={FBEB0E8B-FD69-4CAF-93FF-64C62C60B1D1}</author>
    <author>tc={D27ADFE0-2CD9-4380-9B94-454276B423FE}</author>
    <author>tc={826C11C2-57B2-4C86-9C15-75A36183C5A8}</author>
    <author>tc={50C7BFE0-F5C4-479D-83FF-8B1A4590FD1F}</author>
    <author>tc={F52EDBDE-1C33-4AE3-90E7-18FAC57CBED9}</author>
    <author>tc={24599D3A-FB83-44D6-9CE0-F748499A95D0}</author>
    <author>tc={D387F189-3382-4ED2-B46F-38415B040D27}</author>
    <author>tc={C37487E4-7C7B-4E76-A3E2-474D1554F31C}</author>
    <author>tc={88321BBF-85FD-4497-A2A6-93FDB1401405}</author>
    <author>tc={6B29E972-A898-4568-AA9F-16EF361534C9}</author>
    <author>tc={58346696-052B-40ED-ADF0-C36AE21C7B17}</author>
    <author>tc={9E3E8849-AE3B-4324-88EB-337B3006AE64}</author>
    <author>tc={B2800B8F-CFB4-4AC0-9EAE-007B4FEB25ED}</author>
  </authors>
  <commentList>
    <comment ref="A2" authorId="0" shapeId="0" xr:uid="{82FE905F-1267-40A2-9EF5-397B2D9C448A}">
      <text>
        <t>[Threaded comment]
Your version of Excel allows you to read this threaded comment; however, any edits to it will get removed if the file is opened in a newer version of Excel. Learn more: https://go.microsoft.com/fwlink/?linkid=870924
Comment:
    Initial Start date of major period, normally one year.</t>
      </text>
    </comment>
    <comment ref="B2" authorId="1" shapeId="0" xr:uid="{DD9EFA68-B7C4-4879-8A28-1883E4452601}">
      <text>
        <t>[Threaded comment]
Your version of Excel allows you to read this threaded comment; however, any edits to it will get removed if the file is opened in a newer version of Excel. Learn more: https://go.microsoft.com/fwlink/?linkid=870924
Comment:
    Balance of all taxable assets for each sub period.</t>
      </text>
    </comment>
    <comment ref="D2" authorId="2" shapeId="0" xr:uid="{6AB32912-D68A-4F20-973E-53D9FFF35436}">
      <text>
        <t>[Threaded comment]
Your version of Excel allows you to read this threaded comment; however, any edits to it will get removed if the file is opened in a newer version of Excel. Learn more: https://go.microsoft.com/fwlink/?linkid=870924
Comment:
    Balance of all tax free assets for each sub period.</t>
      </text>
    </comment>
    <comment ref="F2" authorId="3" shapeId="0" xr:uid="{4830FC16-FA10-41FA-AE82-2CC1619ECD74}">
      <text>
        <t>[Threaded comment]
Your version of Excel allows you to read this threaded comment; however, any edits to it will get removed if the file is opened in a newer version of Excel. Learn more: https://go.microsoft.com/fwlink/?linkid=870924
Comment:
    Balance of all tax deferred assets for each sub period.</t>
      </text>
    </comment>
    <comment ref="H2" authorId="4" shapeId="0" xr:uid="{ABBA479F-FA35-42E5-8051-C541C6528FB7}">
      <text>
        <t>[Threaded comment]
Your version of Excel allows you to read this threaded comment; however, any edits to it will get removed if the file is opened in a newer version of Excel. Learn more: https://go.microsoft.com/fwlink/?linkid=870924
Comment:
    Balance of all cash assets for each sub period.</t>
      </text>
    </comment>
    <comment ref="M2" authorId="5" shapeId="0" xr:uid="{6770467F-957D-4246-90BC-41E8A6EC6F8C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sub periods to be calculated.</t>
      </text>
    </comment>
    <comment ref="N2" authorId="6" shapeId="0" xr:uid="{C707A9A2-C941-414A-AF73-369F0647D043}">
      <text>
        <t>[Threaded comment]
Your version of Excel allows you to read this threaded comment; however, any edits to it will get removed if the file is opened in a newer version of Excel. Learn more: https://go.microsoft.com/fwlink/?linkid=870924
Comment:
    CPI-U for sub period. I pull these numbers from here: https://www.bls.gov/cpi/latest-numbers.htm. I use CPI-U, US CITY AVERAGE, ALL ITEMS NSA.</t>
      </text>
    </comment>
    <comment ref="O2" authorId="7" shapeId="0" xr:uid="{2C9284D4-74EA-4BC3-8097-07EF79B703F6}">
      <text>
        <t>[Threaded comment]
Your version of Excel allows you to read this threaded comment; however, any edits to it will get removed if the file is opened in a newer version of Excel. Learn more: https://go.microsoft.com/fwlink/?linkid=870924
Comment:
    Initial withdrawal rate. Using the GK guardrails you may use a higher withdrawal rate as it will correct up or down between the limits you set.</t>
      </text>
    </comment>
    <comment ref="R2" authorId="8" shapeId="0" xr:uid="{FBEB0E8B-FD69-4CAF-93FF-64C62C60B1D1}">
      <text>
        <t>[Threaded comment]
Your version of Excel allows you to read this threaded comment; however, any edits to it will get removed if the file is opened in a newer version of Excel. Learn more: https://go.microsoft.com/fwlink/?linkid=870924
Comment:
    Upper limit guardrail.</t>
      </text>
    </comment>
    <comment ref="T2" authorId="9" shapeId="0" xr:uid="{D27ADFE0-2CD9-4380-9B94-454276B423FE}">
      <text>
        <t>[Threaded comment]
Your version of Excel allows you to read this threaded comment; however, any edits to it will get removed if the file is opened in a newer version of Excel. Learn more: https://go.microsoft.com/fwlink/?linkid=870924
Comment:
    Lower limit guardrail.</t>
      </text>
    </comment>
    <comment ref="V2" authorId="10" shapeId="0" xr:uid="{826C11C2-57B2-4C86-9C15-75A36183C5A8}">
      <text>
        <t>[Threaded comment]
Your version of Excel allows you to read this threaded comment; however, any edits to it will get removed if the file is opened in a newer version of Excel. Learn more: https://go.microsoft.com/fwlink/?linkid=870924
Comment:
    GK pay cut if upper limit is exceeded.</t>
      </text>
    </comment>
    <comment ref="W2" authorId="11" shapeId="0" xr:uid="{50C7BFE0-F5C4-479D-83FF-8B1A4590FD1F}">
      <text>
        <t>[Threaded comment]
Your version of Excel allows you to read this threaded comment; however, any edits to it will get removed if the file is opened in a newer version of Excel. Learn more: https://go.microsoft.com/fwlink/?linkid=870924
Comment:
    GK pay raise if lower limit is exceeded.</t>
      </text>
    </comment>
    <comment ref="AB2" authorId="12" shapeId="0" xr:uid="{F52EDBDE-1C33-4AE3-90E7-18FAC57CBED9}">
      <text>
        <t>[Threaded comment]
Your version of Excel allows you to read this threaded comment; however, any edits to it will get removed if the file is opened in a newer version of Excel. Learn more: https://go.microsoft.com/fwlink/?linkid=870924
Comment:
    Percent of pay to be reinvested. In my case I reinvest in my taxable as it is hyper tax efficient using Indexed ETFs and Wealthfront's parametric rebalancing and tax loss harvesting.</t>
      </text>
    </comment>
    <comment ref="AE2" authorId="13" shapeId="0" xr:uid="{24599D3A-FB83-44D6-9CE0-F748499A95D0}">
      <text>
        <t>[Threaded comment]
Your version of Excel allows you to read this threaded comment; however, any edits to it will get removed if the file is opened in a newer version of Excel. Learn more: https://go.microsoft.com/fwlink/?linkid=870924
Comment:
    Cash saved to be pulled for spending when markets are performing poorly.</t>
      </text>
    </comment>
    <comment ref="AH2" authorId="14" shapeId="0" xr:uid="{D387F189-3382-4ED2-B46F-38415B040D2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fuel for fun!</t>
      </text>
    </comment>
    <comment ref="AK2" authorId="15" shapeId="0" xr:uid="{C37487E4-7C7B-4E76-A3E2-474D1554F31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your annual pension amount divided by number of annual periods considered.</t>
      </text>
    </comment>
    <comment ref="AM2" authorId="16" shapeId="0" xr:uid="{88321BBF-85FD-4497-A2A6-93FDB1401405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your annual social security benefit amount divided by number of annual periods considered.</t>
      </text>
    </comment>
    <comment ref="AO2" authorId="17" shapeId="0" xr:uid="{6B29E972-A898-4568-AA9F-16EF361534C9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your ROTH conversion amount for this period.</t>
      </text>
    </comment>
    <comment ref="AQ2" authorId="18" shapeId="0" xr:uid="{58346696-052B-40ED-ADF0-C36AE21C7B17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other income each period.</t>
      </text>
    </comment>
    <comment ref="AU2" authorId="19" shapeId="0" xr:uid="{9E3E8849-AE3B-4324-88EB-337B3006AE64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Estimated tax deductions. I normally use the last years as a starting point.</t>
      </text>
    </comment>
    <comment ref="AX2" authorId="20" shapeId="0" xr:uid="{B2800B8F-CFB4-4AC0-9EAE-007B4FEB25ED}">
      <text>
        <t>[Threaded comment]
Your version of Excel allows you to read this threaded comment; however, any edits to it will get removed if the file is opened in a newer version of Excel. Learn more: https://go.microsoft.com/fwlink/?linkid=870924
Comment:
    Federal Tax bracket to fill up.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tc={9AE4B422-C33B-4458-912A-92A9A37477DF}</author>
    <author>tc={E258FDAF-A336-4727-8080-029A349F712F}</author>
    <author>tc={ED1D0EF6-A4FA-404D-ABD0-DBE8F0C88CAF}</author>
    <author>tc={4716183B-5F73-4EBE-B3A1-E8C482E2ADDF}</author>
    <author>tc={F73382FC-87B5-4EE8-8C47-8973CD26465C}</author>
    <author>tc={4B944773-9810-4B3F-8446-8A82D3164618}</author>
    <author>tc={849C0A8F-8B08-493E-A0B9-C43E1B2E3626}</author>
    <author>tc={FC4AEAA9-B405-4EBD-A39E-51ADF9F94CCC}</author>
    <author>tc={471B911F-35EE-4A36-9FAC-2EE7315659A5}</author>
    <author>tc={2C009AA3-A8D8-4FE0-B133-E3D71E238B53}</author>
    <author>tc={AC45B0F0-C926-42F1-9847-5DBCF5EF3FCE}</author>
    <author>tc={E46D9B34-ED0C-4893-8D78-FFB32B4FC322}</author>
    <author>tc={BBA51429-DC80-4E97-8B2B-73DCFA82675D}</author>
    <author>tc={ACF77A62-7185-4055-8B02-8FFCCD4F06B5}</author>
    <author>tc={5FF0B345-423F-49F3-B643-570F9AB0280E}</author>
    <author>tc={E2CDE1D3-A29D-43CB-BCD6-626DCCF8ECB2}</author>
    <author>tc={04D8D465-9066-41EE-A993-49E0078B4634}</author>
    <author>tc={215A10A3-2FE4-4F84-ABEB-4361151B7D75}</author>
    <author>tc={605F65C2-1284-4DD0-8DB6-5D914F895E29}</author>
    <author>tc={07B76508-006F-43A2-8ABF-FD8FCAA6CD5F}</author>
    <author>tc={DC195F4B-9666-4E44-98BE-10E525220133}</author>
  </authors>
  <commentList>
    <comment ref="A2" authorId="0" shapeId="0" xr:uid="{9AE4B422-C33B-4458-912A-92A9A37477DF}">
      <text>
        <t>[Threaded comment]
Your version of Excel allows you to read this threaded comment; however, any edits to it will get removed if the file is opened in a newer version of Excel. Learn more: https://go.microsoft.com/fwlink/?linkid=870924
Comment:
    Initial Start date of major period, normally one year.</t>
      </text>
    </comment>
    <comment ref="B2" authorId="1" shapeId="0" xr:uid="{E258FDAF-A336-4727-8080-029A349F712F}">
      <text>
        <t>[Threaded comment]
Your version of Excel allows you to read this threaded comment; however, any edits to it will get removed if the file is opened in a newer version of Excel. Learn more: https://go.microsoft.com/fwlink/?linkid=870924
Comment:
    Balance of all taxable assets for each sub period.</t>
      </text>
    </comment>
    <comment ref="D2" authorId="2" shapeId="0" xr:uid="{ED1D0EF6-A4FA-404D-ABD0-DBE8F0C88CAF}">
      <text>
        <t>[Threaded comment]
Your version of Excel allows you to read this threaded comment; however, any edits to it will get removed if the file is opened in a newer version of Excel. Learn more: https://go.microsoft.com/fwlink/?linkid=870924
Comment:
    Balance of all tax free assets for each sub period.</t>
      </text>
    </comment>
    <comment ref="F2" authorId="3" shapeId="0" xr:uid="{4716183B-5F73-4EBE-B3A1-E8C482E2ADDF}">
      <text>
        <t>[Threaded comment]
Your version of Excel allows you to read this threaded comment; however, any edits to it will get removed if the file is opened in a newer version of Excel. Learn more: https://go.microsoft.com/fwlink/?linkid=870924
Comment:
    Balance of all tax deferred assets for each sub period.</t>
      </text>
    </comment>
    <comment ref="H2" authorId="4" shapeId="0" xr:uid="{F73382FC-87B5-4EE8-8C47-8973CD26465C}">
      <text>
        <t>[Threaded comment]
Your version of Excel allows you to read this threaded comment; however, any edits to it will get removed if the file is opened in a newer version of Excel. Learn more: https://go.microsoft.com/fwlink/?linkid=870924
Comment:
    Balance of all cash assets for each sub period.</t>
      </text>
    </comment>
    <comment ref="M2" authorId="5" shapeId="0" xr:uid="{4B944773-9810-4B3F-8446-8A82D3164618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sub periods to be calculated.</t>
      </text>
    </comment>
    <comment ref="N2" authorId="6" shapeId="0" xr:uid="{849C0A8F-8B08-493E-A0B9-C43E1B2E3626}">
      <text>
        <t>[Threaded comment]
Your version of Excel allows you to read this threaded comment; however, any edits to it will get removed if the file is opened in a newer version of Excel. Learn more: https://go.microsoft.com/fwlink/?linkid=870924
Comment:
    CPI-U for sub period. I pull these numbers from here: https://www.bls.gov/cpi/latest-numbers.htm. I use CPI-U, US CITY AVERAGE, ALL ITEMS NSA.</t>
      </text>
    </comment>
    <comment ref="O2" authorId="7" shapeId="0" xr:uid="{FC4AEAA9-B405-4EBD-A39E-51ADF9F94CCC}">
      <text>
        <t>[Threaded comment]
Your version of Excel allows you to read this threaded comment; however, any edits to it will get removed if the file is opened in a newer version of Excel. Learn more: https://go.microsoft.com/fwlink/?linkid=870924
Comment:
    Initial withdrawal rate. Using the GK guardrails you may use a higher withdrawal rate as it will correct up or down between the limits you set.</t>
      </text>
    </comment>
    <comment ref="R2" authorId="8" shapeId="0" xr:uid="{471B911F-35EE-4A36-9FAC-2EE7315659A5}">
      <text>
        <t>[Threaded comment]
Your version of Excel allows you to read this threaded comment; however, any edits to it will get removed if the file is opened in a newer version of Excel. Learn more: https://go.microsoft.com/fwlink/?linkid=870924
Comment:
    Upper limit guardrail.</t>
      </text>
    </comment>
    <comment ref="T2" authorId="9" shapeId="0" xr:uid="{2C009AA3-A8D8-4FE0-B133-E3D71E238B53}">
      <text>
        <t>[Threaded comment]
Your version of Excel allows you to read this threaded comment; however, any edits to it will get removed if the file is opened in a newer version of Excel. Learn more: https://go.microsoft.com/fwlink/?linkid=870924
Comment:
    Lower limit guardrail.</t>
      </text>
    </comment>
    <comment ref="V2" authorId="10" shapeId="0" xr:uid="{AC45B0F0-C926-42F1-9847-5DBCF5EF3FCE}">
      <text>
        <t>[Threaded comment]
Your version of Excel allows you to read this threaded comment; however, any edits to it will get removed if the file is opened in a newer version of Excel. Learn more: https://go.microsoft.com/fwlink/?linkid=870924
Comment:
    GK pay cut if upper limit is exceeded.</t>
      </text>
    </comment>
    <comment ref="W2" authorId="11" shapeId="0" xr:uid="{E46D9B34-ED0C-4893-8D78-FFB32B4FC322}">
      <text>
        <t>[Threaded comment]
Your version of Excel allows you to read this threaded comment; however, any edits to it will get removed if the file is opened in a newer version of Excel. Learn more: https://go.microsoft.com/fwlink/?linkid=870924
Comment:
    GK pay raise if lower limit is exceeded.</t>
      </text>
    </comment>
    <comment ref="AB2" authorId="12" shapeId="0" xr:uid="{BBA51429-DC80-4E97-8B2B-73DCFA82675D}">
      <text>
        <t>[Threaded comment]
Your version of Excel allows you to read this threaded comment; however, any edits to it will get removed if the file is opened in a newer version of Excel. Learn more: https://go.microsoft.com/fwlink/?linkid=870924
Comment:
    Percent of pay to be reinvested. In my case I reinvest in my taxable as it is hyper tax efficient using Indexed ETFs and Wealthfront's parametric rebalancing and tax loss harvesting.</t>
      </text>
    </comment>
    <comment ref="AE2" authorId="13" shapeId="0" xr:uid="{ACF77A62-7185-4055-8B02-8FFCCD4F06B5}">
      <text>
        <t>[Threaded comment]
Your version of Excel allows you to read this threaded comment; however, any edits to it will get removed if the file is opened in a newer version of Excel. Learn more: https://go.microsoft.com/fwlink/?linkid=870924
Comment:
    Cash saved to be pulled for spending when markets are performing poorly.</t>
      </text>
    </comment>
    <comment ref="AH2" authorId="14" shapeId="0" xr:uid="{5FF0B345-423F-49F3-B643-570F9AB0280E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fuel for fun!</t>
      </text>
    </comment>
    <comment ref="AK2" authorId="15" shapeId="0" xr:uid="{E2CDE1D3-A29D-43CB-BCD6-626DCCF8ECB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your annual pension amount divided by number of annual periods considered.</t>
      </text>
    </comment>
    <comment ref="AM2" authorId="16" shapeId="0" xr:uid="{04D8D465-9066-41EE-A993-49E0078B463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your annual social security benefit amount divided by number of annual periods considered.</t>
      </text>
    </comment>
    <comment ref="AO2" authorId="17" shapeId="0" xr:uid="{215A10A3-2FE4-4F84-ABEB-4361151B7D75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your ROTH conversion amount for this period.</t>
      </text>
    </comment>
    <comment ref="AQ2" authorId="18" shapeId="0" xr:uid="{605F65C2-1284-4DD0-8DB6-5D914F895E29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other income each period.</t>
      </text>
    </comment>
    <comment ref="AU2" authorId="19" shapeId="0" xr:uid="{07B76508-006F-43A2-8ABF-FD8FCAA6CD5F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Estimated tax deductions. I normally use the last years as a starting point.</t>
      </text>
    </comment>
    <comment ref="AX2" authorId="20" shapeId="0" xr:uid="{DC195F4B-9666-4E44-98BE-10E525220133}">
      <text>
        <t>[Threaded comment]
Your version of Excel allows you to read this threaded comment; however, any edits to it will get removed if the file is opened in a newer version of Excel. Learn more: https://go.microsoft.com/fwlink/?linkid=870924
Comment:
    Federal Tax bracket to fill up.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tc={55692D00-65BA-490E-85CD-7E2BD06BEFF3}</author>
    <author>tc={F13328B4-0AB0-4DB0-9D00-93120EDF144E}</author>
    <author>tc={56BBC5B4-CACA-43C3-BA3B-01BF852C4BC9}</author>
    <author>tc={7465A086-D634-4154-9531-DECFC4CAD0FC}</author>
    <author>tc={89DD6AC6-F3A8-4DB4-BE9B-9C8252F96300}</author>
    <author>tc={C67D9A6F-573E-4126-9CD6-BF99248CE484}</author>
    <author>tc={51E528DA-2816-4F1A-87A1-43988A0A341E}</author>
    <author>tc={C6CC58B8-5A17-43E4-999D-170E17BD30C2}</author>
    <author>tc={398F8AD3-DA58-40C2-ABC1-7EA64D53EAE7}</author>
    <author>tc={17B24054-1D3E-4D3F-9E41-DE5FEEA43321}</author>
    <author>tc={A729A3BD-D9AB-4F95-B068-634D2668EBED}</author>
    <author>tc={AB80CB02-CB93-4D59-8297-9D0A1246DF00}</author>
    <author>tc={375FDB79-3AA0-4B42-980D-2A3B8BA7191C}</author>
    <author>tc={F611147F-8282-4294-95C8-A623B8DC8AD2}</author>
    <author>tc={428EB8FE-8494-48D9-B5B2-13364659DCE5}</author>
    <author>tc={E4B0C876-070D-425D-9347-EE03A845AA86}</author>
    <author>tc={AED2550B-993C-490D-98C0-D92B79914CD5}</author>
    <author>tc={437029CD-2095-4BAC-9861-19949E5026D0}</author>
    <author>tc={A8F92412-A597-49A8-887E-719BDD6D2AAA}</author>
    <author>tc={97B4EF3C-0819-472B-B74F-51F2E583F829}</author>
    <author>tc={12CF3128-A36B-4212-90EA-1BC0D6D76E9A}</author>
  </authors>
  <commentList>
    <comment ref="A2" authorId="0" shapeId="0" xr:uid="{55692D00-65BA-490E-85CD-7E2BD06BEFF3}">
      <text>
        <t>[Threaded comment]
Your version of Excel allows you to read this threaded comment; however, any edits to it will get removed if the file is opened in a newer version of Excel. Learn more: https://go.microsoft.com/fwlink/?linkid=870924
Comment:
    Initial Start date of major period, normally one year.</t>
      </text>
    </comment>
    <comment ref="B2" authorId="1" shapeId="0" xr:uid="{F13328B4-0AB0-4DB0-9D00-93120EDF144E}">
      <text>
        <t>[Threaded comment]
Your version of Excel allows you to read this threaded comment; however, any edits to it will get removed if the file is opened in a newer version of Excel. Learn more: https://go.microsoft.com/fwlink/?linkid=870924
Comment:
    Balance of all taxable assets for each sub period.</t>
      </text>
    </comment>
    <comment ref="D2" authorId="2" shapeId="0" xr:uid="{56BBC5B4-CACA-43C3-BA3B-01BF852C4BC9}">
      <text>
        <t>[Threaded comment]
Your version of Excel allows you to read this threaded comment; however, any edits to it will get removed if the file is opened in a newer version of Excel. Learn more: https://go.microsoft.com/fwlink/?linkid=870924
Comment:
    Balance of all tax free assets for each sub period.</t>
      </text>
    </comment>
    <comment ref="F2" authorId="3" shapeId="0" xr:uid="{7465A086-D634-4154-9531-DECFC4CAD0FC}">
      <text>
        <t>[Threaded comment]
Your version of Excel allows you to read this threaded comment; however, any edits to it will get removed if the file is opened in a newer version of Excel. Learn more: https://go.microsoft.com/fwlink/?linkid=870924
Comment:
    Balance of all tax deferred assets for each sub period.</t>
      </text>
    </comment>
    <comment ref="H2" authorId="4" shapeId="0" xr:uid="{89DD6AC6-F3A8-4DB4-BE9B-9C8252F96300}">
      <text>
        <t>[Threaded comment]
Your version of Excel allows you to read this threaded comment; however, any edits to it will get removed if the file is opened in a newer version of Excel. Learn more: https://go.microsoft.com/fwlink/?linkid=870924
Comment:
    Balance of all cash assets for each sub period.</t>
      </text>
    </comment>
    <comment ref="M2" authorId="5" shapeId="0" xr:uid="{C67D9A6F-573E-4126-9CD6-BF99248CE484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sub periods to be calculated.</t>
      </text>
    </comment>
    <comment ref="N2" authorId="6" shapeId="0" xr:uid="{51E528DA-2816-4F1A-87A1-43988A0A341E}">
      <text>
        <t>[Threaded comment]
Your version of Excel allows you to read this threaded comment; however, any edits to it will get removed if the file is opened in a newer version of Excel. Learn more: https://go.microsoft.com/fwlink/?linkid=870924
Comment:
    CPI-U for sub period. I pull these numbers from here: https://www.bls.gov/cpi/latest-numbers.htm. I use CPI-U, US CITY AVERAGE, ALL ITEMS NSA.</t>
      </text>
    </comment>
    <comment ref="O2" authorId="7" shapeId="0" xr:uid="{C6CC58B8-5A17-43E4-999D-170E17BD30C2}">
      <text>
        <t>[Threaded comment]
Your version of Excel allows you to read this threaded comment; however, any edits to it will get removed if the file is opened in a newer version of Excel. Learn more: https://go.microsoft.com/fwlink/?linkid=870924
Comment:
    Initial withdrawal rate. Using the GK guardrails you may use a higher withdrawal rate as it will correct up or down between the limits you set.</t>
      </text>
    </comment>
    <comment ref="R2" authorId="8" shapeId="0" xr:uid="{398F8AD3-DA58-40C2-ABC1-7EA64D53EAE7}">
      <text>
        <t>[Threaded comment]
Your version of Excel allows you to read this threaded comment; however, any edits to it will get removed if the file is opened in a newer version of Excel. Learn more: https://go.microsoft.com/fwlink/?linkid=870924
Comment:
    Upper limit guardrail.</t>
      </text>
    </comment>
    <comment ref="T2" authorId="9" shapeId="0" xr:uid="{17B24054-1D3E-4D3F-9E41-DE5FEEA43321}">
      <text>
        <t>[Threaded comment]
Your version of Excel allows you to read this threaded comment; however, any edits to it will get removed if the file is opened in a newer version of Excel. Learn more: https://go.microsoft.com/fwlink/?linkid=870924
Comment:
    Lower limit guardrail.</t>
      </text>
    </comment>
    <comment ref="V2" authorId="10" shapeId="0" xr:uid="{A729A3BD-D9AB-4F95-B068-634D2668EBED}">
      <text>
        <t>[Threaded comment]
Your version of Excel allows you to read this threaded comment; however, any edits to it will get removed if the file is opened in a newer version of Excel. Learn more: https://go.microsoft.com/fwlink/?linkid=870924
Comment:
    GK pay cut if upper limit is exceeded.</t>
      </text>
    </comment>
    <comment ref="W2" authorId="11" shapeId="0" xr:uid="{AB80CB02-CB93-4D59-8297-9D0A1246DF00}">
      <text>
        <t>[Threaded comment]
Your version of Excel allows you to read this threaded comment; however, any edits to it will get removed if the file is opened in a newer version of Excel. Learn more: https://go.microsoft.com/fwlink/?linkid=870924
Comment:
    GK pay raise if lower limit is exceeded.</t>
      </text>
    </comment>
    <comment ref="AB2" authorId="12" shapeId="0" xr:uid="{375FDB79-3AA0-4B42-980D-2A3B8BA7191C}">
      <text>
        <t>[Threaded comment]
Your version of Excel allows you to read this threaded comment; however, any edits to it will get removed if the file is opened in a newer version of Excel. Learn more: https://go.microsoft.com/fwlink/?linkid=870924
Comment:
    Percent of pay to be reinvested. In my case I reinvest in my taxable as it is hyper tax efficient using Indexed ETFs and Wealthfront's parametric rebalancing and tax loss harvesting.</t>
      </text>
    </comment>
    <comment ref="AE2" authorId="13" shapeId="0" xr:uid="{F611147F-8282-4294-95C8-A623B8DC8AD2}">
      <text>
        <t>[Threaded comment]
Your version of Excel allows you to read this threaded comment; however, any edits to it will get removed if the file is opened in a newer version of Excel. Learn more: https://go.microsoft.com/fwlink/?linkid=870924
Comment:
    Cash saved to be pulled for spending when markets are performing poorly.</t>
      </text>
    </comment>
    <comment ref="AH2" authorId="14" shapeId="0" xr:uid="{428EB8FE-8494-48D9-B5B2-13364659DCE5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fuel for fun!</t>
      </text>
    </comment>
    <comment ref="AK2" authorId="15" shapeId="0" xr:uid="{E4B0C876-070D-425D-9347-EE03A845AA8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your annual pension amount divided by number of annual periods considered.</t>
      </text>
    </comment>
    <comment ref="AM2" authorId="16" shapeId="0" xr:uid="{AED2550B-993C-490D-98C0-D92B79914CD5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your annual social security benefit amount divided by number of annual periods considered.</t>
      </text>
    </comment>
    <comment ref="AO2" authorId="17" shapeId="0" xr:uid="{437029CD-2095-4BAC-9861-19949E5026D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your ROTH conversion amount for this period.</t>
      </text>
    </comment>
    <comment ref="AQ2" authorId="18" shapeId="0" xr:uid="{A8F92412-A597-49A8-887E-719BDD6D2AAA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other income each period.</t>
      </text>
    </comment>
    <comment ref="AU2" authorId="19" shapeId="0" xr:uid="{97B4EF3C-0819-472B-B74F-51F2E583F829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Estimated tax deductions. I normally use the last years as a starting point.</t>
      </text>
    </comment>
    <comment ref="AX2" authorId="20" shapeId="0" xr:uid="{12CF3128-A36B-4212-90EA-1BC0D6D76E9A}">
      <text>
        <t>[Threaded comment]
Your version of Excel allows you to read this threaded comment; however, any edits to it will get removed if the file is opened in a newer version of Excel. Learn more: https://go.microsoft.com/fwlink/?linkid=870924
Comment:
    Federal Tax bracket to fill up.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tc={FC39F7B5-D1FA-46D5-A4C4-FF07B0092C2B}</author>
    <author>tc={2802E5C1-9344-493B-92F4-0ED3DF8E0F8A}</author>
    <author>tc={18DC0B9D-9022-4881-9E88-BD5B9F0ADFA1}</author>
    <author>tc={1C8BD9FF-ABEA-473E-B474-0E7F06EF7FD1}</author>
    <author>tc={EFE49CA8-8601-478D-914F-1DA1A62501EF}</author>
    <author>tc={657C036C-4154-4018-A232-455FC6FB6D1F}</author>
    <author>tc={F632C449-FEB8-4FB1-BC24-753282077668}</author>
    <author>tc={3A663817-AA27-4A0D-901C-A47C23908011}</author>
    <author>tc={EC4BD741-8982-457F-8EFE-CB1009C01923}</author>
    <author>tc={F75190AB-D1A8-4503-ACC2-404DA1CA4DCC}</author>
    <author>tc={F5130C08-8031-4377-B211-CE6F446DFCA2}</author>
    <author>tc={2310557C-A6EC-4054-85DF-1BE613CF6569}</author>
    <author>tc={197DD9E1-02CA-4E69-9A51-8EB972C43C71}</author>
    <author>tc={DFC22ED8-E9B0-4FE8-873B-F3F905224D96}</author>
    <author>tc={F8AD1E49-554B-4421-B0F7-BED545BE896C}</author>
    <author>tc={5E34550B-5084-4C81-9091-205910A03521}</author>
    <author>tc={1B0762DB-EA95-4231-AA49-DB67948FD524}</author>
    <author>tc={209269E0-92C9-4FEF-9978-2498C5B0FA9F}</author>
    <author>tc={3414BA85-0ECC-4BE1-8754-C6BFF168A5FC}</author>
    <author>tc={9135E022-F333-4F95-B096-68B60DA50DE3}</author>
    <author>tc={4A13B46B-E45C-47AB-83DF-B9D981E3EDFD}</author>
  </authors>
  <commentList>
    <comment ref="A2" authorId="0" shapeId="0" xr:uid="{FC39F7B5-D1FA-46D5-A4C4-FF07B0092C2B}">
      <text>
        <t>[Threaded comment]
Your version of Excel allows you to read this threaded comment; however, any edits to it will get removed if the file is opened in a newer version of Excel. Learn more: https://go.microsoft.com/fwlink/?linkid=870924
Comment:
    Initial Start date of major period, normally one year.</t>
      </text>
    </comment>
    <comment ref="B2" authorId="1" shapeId="0" xr:uid="{2802E5C1-9344-493B-92F4-0ED3DF8E0F8A}">
      <text>
        <t>[Threaded comment]
Your version of Excel allows you to read this threaded comment; however, any edits to it will get removed if the file is opened in a newer version of Excel. Learn more: https://go.microsoft.com/fwlink/?linkid=870924
Comment:
    Balance of all taxable assets for each sub period.</t>
      </text>
    </comment>
    <comment ref="D2" authorId="2" shapeId="0" xr:uid="{18DC0B9D-9022-4881-9E88-BD5B9F0ADFA1}">
      <text>
        <t>[Threaded comment]
Your version of Excel allows you to read this threaded comment; however, any edits to it will get removed if the file is opened in a newer version of Excel. Learn more: https://go.microsoft.com/fwlink/?linkid=870924
Comment:
    Balance of all tax free assets for each sub period.</t>
      </text>
    </comment>
    <comment ref="F2" authorId="3" shapeId="0" xr:uid="{1C8BD9FF-ABEA-473E-B474-0E7F06EF7FD1}">
      <text>
        <t>[Threaded comment]
Your version of Excel allows you to read this threaded comment; however, any edits to it will get removed if the file is opened in a newer version of Excel. Learn more: https://go.microsoft.com/fwlink/?linkid=870924
Comment:
    Balance of all tax deferred assets for each sub period.</t>
      </text>
    </comment>
    <comment ref="H2" authorId="4" shapeId="0" xr:uid="{EFE49CA8-8601-478D-914F-1DA1A62501EF}">
      <text>
        <t>[Threaded comment]
Your version of Excel allows you to read this threaded comment; however, any edits to it will get removed if the file is opened in a newer version of Excel. Learn more: https://go.microsoft.com/fwlink/?linkid=870924
Comment:
    Balance of all cash assets for each sub period.</t>
      </text>
    </comment>
    <comment ref="M2" authorId="5" shapeId="0" xr:uid="{657C036C-4154-4018-A232-455FC6FB6D1F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sub periods to be calculated.</t>
      </text>
    </comment>
    <comment ref="N2" authorId="6" shapeId="0" xr:uid="{F632C449-FEB8-4FB1-BC24-753282077668}">
      <text>
        <t>[Threaded comment]
Your version of Excel allows you to read this threaded comment; however, any edits to it will get removed if the file is opened in a newer version of Excel. Learn more: https://go.microsoft.com/fwlink/?linkid=870924
Comment:
    CPI-U for sub period. I pull these numbers from here: https://www.bls.gov/cpi/latest-numbers.htm. I use CPI-U, US CITY AVERAGE, ALL ITEMS NSA.</t>
      </text>
    </comment>
    <comment ref="O2" authorId="7" shapeId="0" xr:uid="{3A663817-AA27-4A0D-901C-A47C23908011}">
      <text>
        <t>[Threaded comment]
Your version of Excel allows you to read this threaded comment; however, any edits to it will get removed if the file is opened in a newer version of Excel. Learn more: https://go.microsoft.com/fwlink/?linkid=870924
Comment:
    Initial withdrawal rate. Using the GK guardrails you may use a higher withdrawal rate as it will correct up or down between the limits you set.</t>
      </text>
    </comment>
    <comment ref="R2" authorId="8" shapeId="0" xr:uid="{EC4BD741-8982-457F-8EFE-CB1009C01923}">
      <text>
        <t>[Threaded comment]
Your version of Excel allows you to read this threaded comment; however, any edits to it will get removed if the file is opened in a newer version of Excel. Learn more: https://go.microsoft.com/fwlink/?linkid=870924
Comment:
    Upper limit guardrail.</t>
      </text>
    </comment>
    <comment ref="T2" authorId="9" shapeId="0" xr:uid="{F75190AB-D1A8-4503-ACC2-404DA1CA4DCC}">
      <text>
        <t>[Threaded comment]
Your version of Excel allows you to read this threaded comment; however, any edits to it will get removed if the file is opened in a newer version of Excel. Learn more: https://go.microsoft.com/fwlink/?linkid=870924
Comment:
    Lower limit guardrail.</t>
      </text>
    </comment>
    <comment ref="V2" authorId="10" shapeId="0" xr:uid="{F5130C08-8031-4377-B211-CE6F446DFCA2}">
      <text>
        <t>[Threaded comment]
Your version of Excel allows you to read this threaded comment; however, any edits to it will get removed if the file is opened in a newer version of Excel. Learn more: https://go.microsoft.com/fwlink/?linkid=870924
Comment:
    GK pay cut if upper limit is exceeded.</t>
      </text>
    </comment>
    <comment ref="W2" authorId="11" shapeId="0" xr:uid="{2310557C-A6EC-4054-85DF-1BE613CF6569}">
      <text>
        <t>[Threaded comment]
Your version of Excel allows you to read this threaded comment; however, any edits to it will get removed if the file is opened in a newer version of Excel. Learn more: https://go.microsoft.com/fwlink/?linkid=870924
Comment:
    GK pay raise if lower limit is exceeded.</t>
      </text>
    </comment>
    <comment ref="AB2" authorId="12" shapeId="0" xr:uid="{197DD9E1-02CA-4E69-9A51-8EB972C43C71}">
      <text>
        <t>[Threaded comment]
Your version of Excel allows you to read this threaded comment; however, any edits to it will get removed if the file is opened in a newer version of Excel. Learn more: https://go.microsoft.com/fwlink/?linkid=870924
Comment:
    Percent of pay to be reinvested. In my case I reinvest in my taxable as it is hyper tax efficient using Indexed ETFs and Wealthfront's parametric rebalancing and tax loss harvesting.</t>
      </text>
    </comment>
    <comment ref="AE2" authorId="13" shapeId="0" xr:uid="{DFC22ED8-E9B0-4FE8-873B-F3F905224D96}">
      <text>
        <t>[Threaded comment]
Your version of Excel allows you to read this threaded comment; however, any edits to it will get removed if the file is opened in a newer version of Excel. Learn more: https://go.microsoft.com/fwlink/?linkid=870924
Comment:
    Cash saved to be pulled for spending when markets are performing poorly.</t>
      </text>
    </comment>
    <comment ref="AH2" authorId="14" shapeId="0" xr:uid="{F8AD1E49-554B-4421-B0F7-BED545BE896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fuel for fun!</t>
      </text>
    </comment>
    <comment ref="AK2" authorId="15" shapeId="0" xr:uid="{5E34550B-5084-4C81-9091-205910A03521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your annual pension amount divided by number of annual periods considered.</t>
      </text>
    </comment>
    <comment ref="AM2" authorId="16" shapeId="0" xr:uid="{1B0762DB-EA95-4231-AA49-DB67948FD52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your annual social security benefit amount divided by number of annual periods considered.</t>
      </text>
    </comment>
    <comment ref="AO2" authorId="17" shapeId="0" xr:uid="{209269E0-92C9-4FEF-9978-2498C5B0FA9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your ROTH conversion amount for this period.</t>
      </text>
    </comment>
    <comment ref="AQ2" authorId="18" shapeId="0" xr:uid="{3414BA85-0ECC-4BE1-8754-C6BFF168A5FC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other income each period.</t>
      </text>
    </comment>
    <comment ref="AU2" authorId="19" shapeId="0" xr:uid="{9135E022-F333-4F95-B096-68B60DA50DE3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Estimated tax deductions. I normally use the last years as a starting point.</t>
      </text>
    </comment>
    <comment ref="AX2" authorId="20" shapeId="0" xr:uid="{4A13B46B-E45C-47AB-83DF-B9D981E3EDFD}">
      <text>
        <t>[Threaded comment]
Your version of Excel allows you to read this threaded comment; however, any edits to it will get removed if the file is opened in a newer version of Excel. Learn more: https://go.microsoft.com/fwlink/?linkid=870924
Comment:
    Federal Tax bracket to fill up.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tc={668467CF-AB7D-4F32-959B-DC374BCE3521}</author>
    <author>tc={A063BD5C-96AB-4834-AEEC-D7E7C3976FCF}</author>
    <author>tc={B3B923DC-DAE6-4656-948F-C3D796FA0E14}</author>
    <author>tc={6EB35900-FC06-4CF9-8609-E48F75CF1C0A}</author>
    <author>tc={4288DD40-B546-48E4-8DFB-33A825CFDF40}</author>
    <author>tc={088DA956-89C6-45EF-B387-82260F3650F3}</author>
    <author>tc={5C8DAA5A-65BC-4F7C-949B-276F68BB0D3A}</author>
    <author>tc={DCFD8F2E-DBE2-4BA9-AB06-126496FD3B65}</author>
    <author>tc={9CFA9523-4CE4-43AB-99A3-2EECCD088CE7}</author>
    <author>tc={B0AC36AF-935F-437F-BC77-F9002EA1341A}</author>
    <author>tc={6A5A36ED-1A12-4E46-9564-281E8100934B}</author>
    <author>tc={9CFC0F92-3F60-43E1-8A9D-7BF6EC2C2680}</author>
    <author>tc={AD3145F7-A369-4977-8E9A-759BE1A6F7C3}</author>
    <author>tc={A4B8F6A2-6B3D-4CD8-8E11-E7B218A65692}</author>
    <author>tc={C1915B8D-1283-46AA-96E1-5F1C87F6C765}</author>
    <author>tc={5E2E288A-BCB4-4637-BB7D-E443FD8B4D52}</author>
    <author>tc={919E850E-5D75-44E6-8D8E-BCBF374303D0}</author>
    <author>tc={1C303406-A106-4FDD-B023-9A0B2BCA3531}</author>
    <author>tc={B4F2B543-39BA-4C29-A5A7-73560FD5C44F}</author>
    <author>tc={77281EA8-346E-41FA-BFDC-13C887760F49}</author>
    <author>tc={71CA9507-BEAD-4B39-BBD0-0E1A92A062B6}</author>
    <author>tc={A757172D-F1A9-4A8E-9B3C-EAF5FE85C243}</author>
    <author>tc={0747EFD6-CF50-4DFD-B5BE-7A1D091F11E8}</author>
  </authors>
  <commentList>
    <comment ref="A2" authorId="0" shapeId="0" xr:uid="{668467CF-AB7D-4F32-959B-DC374BCE3521}">
      <text>
        <t>[Threaded comment]
Your version of Excel allows you to read this threaded comment; however, any edits to it will get removed if the file is opened in a newer version of Excel. Learn more: https://go.microsoft.com/fwlink/?linkid=870924
Comment:
    Initial Start date of major period, normally one year.</t>
      </text>
    </comment>
    <comment ref="B2" authorId="1" shapeId="0" xr:uid="{A063BD5C-96AB-4834-AEEC-D7E7C3976FCF}">
      <text>
        <t>[Threaded comment]
Your version of Excel allows you to read this threaded comment; however, any edits to it will get removed if the file is opened in a newer version of Excel. Learn more: https://go.microsoft.com/fwlink/?linkid=870924
Comment:
    Balance of all taxable assets for each sub period.</t>
      </text>
    </comment>
    <comment ref="D2" authorId="2" shapeId="0" xr:uid="{B3B923DC-DAE6-4656-948F-C3D796FA0E14}">
      <text>
        <t>[Threaded comment]
Your version of Excel allows you to read this threaded comment; however, any edits to it will get removed if the file is opened in a newer version of Excel. Learn more: https://go.microsoft.com/fwlink/?linkid=870924
Comment:
    Balance of all tax free assets for each sub period.</t>
      </text>
    </comment>
    <comment ref="F2" authorId="3" shapeId="0" xr:uid="{6EB35900-FC06-4CF9-8609-E48F75CF1C0A}">
      <text>
        <t>[Threaded comment]
Your version of Excel allows you to read this threaded comment; however, any edits to it will get removed if the file is opened in a newer version of Excel. Learn more: https://go.microsoft.com/fwlink/?linkid=870924
Comment:
    Balance of all tax deferred assets for each sub period.</t>
      </text>
    </comment>
    <comment ref="H2" authorId="4" shapeId="0" xr:uid="{4288DD40-B546-48E4-8DFB-33A825CFDF40}">
      <text>
        <t>[Threaded comment]
Your version of Excel allows you to read this threaded comment; however, any edits to it will get removed if the file is opened in a newer version of Excel. Learn more: https://go.microsoft.com/fwlink/?linkid=870924
Comment:
    Balance of all cash assets for each sub period.</t>
      </text>
    </comment>
    <comment ref="M2" authorId="5" shapeId="0" xr:uid="{088DA956-89C6-45EF-B387-82260F3650F3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sub periods to be calculated.</t>
      </text>
    </comment>
    <comment ref="N2" authorId="6" shapeId="0" xr:uid="{5C8DAA5A-65BC-4F7C-949B-276F68BB0D3A}">
      <text>
        <t>[Threaded comment]
Your version of Excel allows you to read this threaded comment; however, any edits to it will get removed if the file is opened in a newer version of Excel. Learn more: https://go.microsoft.com/fwlink/?linkid=870924
Comment:
    CPI-U for sub period. I pull these numbers from here: https://www.bls.gov/cpi/latest-numbers.htm. I use CPI-U, US CITY AVERAGE, ALL ITEMS NSA.</t>
      </text>
    </comment>
    <comment ref="O2" authorId="7" shapeId="0" xr:uid="{DCFD8F2E-DBE2-4BA9-AB06-126496FD3B65}">
      <text>
        <t>[Threaded comment]
Your version of Excel allows you to read this threaded comment; however, any edits to it will get removed if the file is opened in a newer version of Excel. Learn more: https://go.microsoft.com/fwlink/?linkid=870924
Comment:
    Initial withdrawal rate. Using the GK guardrails you may use a higher withdrawal rate as it will correct up or down between the limits you set.</t>
      </text>
    </comment>
    <comment ref="R2" authorId="8" shapeId="0" xr:uid="{9CFA9523-4CE4-43AB-99A3-2EECCD088CE7}">
      <text>
        <t>[Threaded comment]
Your version of Excel allows you to read this threaded comment; however, any edits to it will get removed if the file is opened in a newer version of Excel. Learn more: https://go.microsoft.com/fwlink/?linkid=870924
Comment:
    Upper limit guardrail.</t>
      </text>
    </comment>
    <comment ref="T2" authorId="9" shapeId="0" xr:uid="{B0AC36AF-935F-437F-BC77-F9002EA1341A}">
      <text>
        <t>[Threaded comment]
Your version of Excel allows you to read this threaded comment; however, any edits to it will get removed if the file is opened in a newer version of Excel. Learn more: https://go.microsoft.com/fwlink/?linkid=870924
Comment:
    Lower limit guardrail.</t>
      </text>
    </comment>
    <comment ref="V2" authorId="10" shapeId="0" xr:uid="{6A5A36ED-1A12-4E46-9564-281E8100934B}">
      <text>
        <t>[Threaded comment]
Your version of Excel allows you to read this threaded comment; however, any edits to it will get removed if the file is opened in a newer version of Excel. Learn more: https://go.microsoft.com/fwlink/?linkid=870924
Comment:
    GK pay raise if paycheck is below lower limit.</t>
      </text>
    </comment>
    <comment ref="W2" authorId="11" shapeId="0" xr:uid="{9CFC0F92-3F60-43E1-8A9D-7BF6EC2C2680}">
      <text>
        <t>[Threaded comment]
Your version of Excel allows you to read this threaded comment; however, any edits to it will get removed if the file is opened in a newer version of Excel. Learn more: https://go.microsoft.com/fwlink/?linkid=870924
Comment:
    GK cut if paycheck is greater than upper limit.</t>
      </text>
    </comment>
    <comment ref="AC2" authorId="12" shapeId="0" xr:uid="{AD3145F7-A369-4977-8E9A-759BE1A6F7C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your annual pension amount divided by number of annual periods considered.</t>
      </text>
    </comment>
    <comment ref="AE2" authorId="13" shapeId="0" xr:uid="{A4B8F6A2-6B3D-4CD8-8E11-E7B218A6569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your annual social security benefit amount divided by number of annual periods considered.</t>
      </text>
    </comment>
    <comment ref="AH2" authorId="14" shapeId="0" xr:uid="{C1915B8D-1283-46AA-96E1-5F1C87F6C765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your ROTH conversion amount for this period.</t>
      </text>
    </comment>
    <comment ref="AJ2" authorId="15" shapeId="0" xr:uid="{5E2E288A-BCB4-4637-BB7D-E443FD8B4D52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other income each period.</t>
      </text>
    </comment>
    <comment ref="AO2" authorId="16" shapeId="0" xr:uid="{919E850E-5D75-44E6-8D8E-BCBF374303D0}">
      <text>
        <t>[Threaded comment]
Your version of Excel allows you to read this threaded comment; however, any edits to it will get removed if the file is opened in a newer version of Excel. Learn more: https://go.microsoft.com/fwlink/?linkid=870924
Comment:
    Cash Flow minus taxes report in Quicken (Less Federal, State and Local Taxes only)</t>
      </text>
    </comment>
    <comment ref="AQ2" authorId="17" shapeId="0" xr:uid="{1C303406-A106-4FDD-B023-9A0B2BCA3531}">
      <text>
        <t>[Threaded comment]
Your version of Excel allows you to read this threaded comment; however, any edits to it will get removed if the file is opened in a newer version of Excel. Learn more: https://go.microsoft.com/fwlink/?linkid=870924
Comment:
    Percent of pay to be reinvested. In my case I reinvest in my taxable as it is hyper tax efficient using Indexed ETFs and Wealthfront's parametric rebalancing and tax loss harvesting.</t>
      </text>
    </comment>
    <comment ref="AT2" authorId="18" shapeId="0" xr:uid="{B4F2B543-39BA-4C29-A5A7-73560FD5C44F}">
      <text>
        <t>[Threaded comment]
Your version of Excel allows you to read this threaded comment; however, any edits to it will get removed if the file is opened in a newer version of Excel. Learn more: https://go.microsoft.com/fwlink/?linkid=870924
Comment:
    Cash saved to be pulled for spending when markets are performing poorly.</t>
      </text>
    </comment>
    <comment ref="AZ2" authorId="19" shapeId="0" xr:uid="{77281EA8-346E-41FA-BFDC-13C887760F49}">
      <text>
        <t>[Threaded comment]
Your version of Excel allows you to read this threaded comment; however, any edits to it will get removed if the file is opened in a newer version of Excel. Learn more: https://go.microsoft.com/fwlink/?linkid=870924
Comment:
    Federal Tax bracket to fill up.</t>
      </text>
    </comment>
    <comment ref="AW29" authorId="20" shapeId="0" xr:uid="{71CA9507-BEAD-4B39-BBD0-0E1A92A062B6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Estimated total tax deductions. I normally use the last years as a starting point.</t>
      </text>
    </comment>
    <comment ref="J32" authorId="21" shapeId="0" xr:uid="{A757172D-F1A9-4A8E-9B3C-EAF5FE85C243}">
      <text>
        <t>[Threaded comment]
Your version of Excel allows you to read this threaded comment; however, any edits to it will get removed if the file is opened in a newer version of Excel. Learn more: https://go.microsoft.com/fwlink/?linkid=870924
Comment:
    Normalization target.</t>
      </text>
    </comment>
    <comment ref="J34" authorId="22" shapeId="0" xr:uid="{0747EFD6-CF50-4DFD-B5BE-7A1D091F11E8}">
      <text>
        <t>[Threaded comment]
Your version of Excel allows you to read this threaded comment; however, any edits to it will get removed if the file is opened in a newer version of Excel. Learn more: https://go.microsoft.com/fwlink/?linkid=870924
Comment:
    Copy calculated factor and paste value to apply to all fixed entry amounts.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tc={F571A413-95BC-4328-BF75-6FD4D0067744}</author>
    <author>tc={9F4DE01F-0E76-4557-968A-69B208257E93}</author>
    <author>tc={53B113E1-1E56-4CF2-A6C8-E24F471D7B40}</author>
    <author>tc={FB1D5521-0F26-4C08-88C9-AC9F1F8EA510}</author>
    <author>tc={198B346D-E514-4488-BB46-6CD4D382CD4F}</author>
    <author>tc={FA04B45D-1EC7-432E-943B-5E0A41A4BDE6}</author>
    <author>tc={341CBDD8-E9C2-47C8-B96F-E0AB1EFCFF5F}</author>
    <author>tc={B8F258FD-ABE1-4CF4-A53F-378023D0AA5C}</author>
    <author>tc={69A8C28B-F560-4A31-988B-7EDE6A1E62B6}</author>
    <author>tc={BC3F6E77-8F9F-41F1-B2E3-E3D1FB71B57A}</author>
    <author>tc={FBC0773C-0C05-43BB-A4A4-896FA94D1B47}</author>
    <author>tc={538F2A7E-B4DD-4F0B-9DC2-9F31BDDA3297}</author>
    <author>tc={66F8D960-F30C-42BE-A83C-3AE96C17C557}</author>
    <author>tc={0A2DA4C8-E0FB-49FC-8006-F74DC496BD6D}</author>
    <author>tc={64AFFE82-2D92-41D0-BE0D-9219CF70FB4B}</author>
    <author>tc={CCB4E86B-D302-45EB-82C3-56F6FCA46AC3}</author>
    <author>tc={69F33AFB-DD27-472F-A4A0-C5A5E994CBD0}</author>
    <author>tc={BC6F18D9-BC96-4C72-9EF1-BBAEF361FE07}</author>
    <author>tc={823343C2-C5F9-43FD-A961-F7356E5F24F1}</author>
    <author>tc={C45BFD63-3179-4DF0-96B7-BB27C24B770B}</author>
    <author>tc={CEDE3EF8-B14F-45E6-B00E-228B713DE949}</author>
    <author>tc={96C7C098-13F4-4731-B4A2-B61533AB4A87}</author>
  </authors>
  <commentList>
    <comment ref="A2" authorId="0" shapeId="0" xr:uid="{F571A413-95BC-4328-BF75-6FD4D0067744}">
      <text>
        <t>[Threaded comment]
Your version of Excel allows you to read this threaded comment; however, any edits to it will get removed if the file is opened in a newer version of Excel. Learn more: https://go.microsoft.com/fwlink/?linkid=870924
Comment:
    Initial Start date of major period, normally one year.</t>
      </text>
    </comment>
    <comment ref="B2" authorId="1" shapeId="0" xr:uid="{9F4DE01F-0E76-4557-968A-69B208257E93}">
      <text>
        <t>[Threaded comment]
Your version of Excel allows you to read this threaded comment; however, any edits to it will get removed if the file is opened in a newer version of Excel. Learn more: https://go.microsoft.com/fwlink/?linkid=870924
Comment:
    Balance of all taxable assets for each sub period.</t>
      </text>
    </comment>
    <comment ref="D2" authorId="2" shapeId="0" xr:uid="{53B113E1-1E56-4CF2-A6C8-E24F471D7B40}">
      <text>
        <t>[Threaded comment]
Your version of Excel allows you to read this threaded comment; however, any edits to it will get removed if the file is opened in a newer version of Excel. Learn more: https://go.microsoft.com/fwlink/?linkid=870924
Comment:
    Balance of all tax free assets for each sub period.</t>
      </text>
    </comment>
    <comment ref="F2" authorId="3" shapeId="0" xr:uid="{FB1D5521-0F26-4C08-88C9-AC9F1F8EA510}">
      <text>
        <t>[Threaded comment]
Your version of Excel allows you to read this threaded comment; however, any edits to it will get removed if the file is opened in a newer version of Excel. Learn more: https://go.microsoft.com/fwlink/?linkid=870924
Comment:
    Balance of all tax deferred assets for each sub period.</t>
      </text>
    </comment>
    <comment ref="H2" authorId="4" shapeId="0" xr:uid="{198B346D-E514-4488-BB46-6CD4D382CD4F}">
      <text>
        <t>[Threaded comment]
Your version of Excel allows you to read this threaded comment; however, any edits to it will get removed if the file is opened in a newer version of Excel. Learn more: https://go.microsoft.com/fwlink/?linkid=870924
Comment:
    Balance of all cash assets for each sub period.</t>
      </text>
    </comment>
    <comment ref="M2" authorId="5" shapeId="0" xr:uid="{FA04B45D-1EC7-432E-943B-5E0A41A4BDE6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sub periods to be calculated.</t>
      </text>
    </comment>
    <comment ref="O2" authorId="6" shapeId="0" xr:uid="{341CBDD8-E9C2-47C8-B96F-E0AB1EFCFF5F}">
      <text>
        <t>[Threaded comment]
Your version of Excel allows you to read this threaded comment; however, any edits to it will get removed if the file is opened in a newer version of Excel. Learn more: https://go.microsoft.com/fwlink/?linkid=870924
Comment:
    Initial withdrawal rate. Using the GK guardrails you may use a higher withdrawal rate as it will correct up or down between the limits you set.</t>
      </text>
    </comment>
    <comment ref="R2" authorId="7" shapeId="0" xr:uid="{B8F258FD-ABE1-4CF4-A53F-378023D0AA5C}">
      <text>
        <t>[Threaded comment]
Your version of Excel allows you to read this threaded comment; however, any edits to it will get removed if the file is opened in a newer version of Excel. Learn more: https://go.microsoft.com/fwlink/?linkid=870924
Comment:
    Upper limit guardrail.</t>
      </text>
    </comment>
    <comment ref="T2" authorId="8" shapeId="0" xr:uid="{69A8C28B-F560-4A31-988B-7EDE6A1E62B6}">
      <text>
        <t>[Threaded comment]
Your version of Excel allows you to read this threaded comment; however, any edits to it will get removed if the file is opened in a newer version of Excel. Learn more: https://go.microsoft.com/fwlink/?linkid=870924
Comment:
    Lower limit guardrail.</t>
      </text>
    </comment>
    <comment ref="V2" authorId="9" shapeId="0" xr:uid="{BC3F6E77-8F9F-41F1-B2E3-E3D1FB71B57A}">
      <text>
        <t>[Threaded comment]
Your version of Excel allows you to read this threaded comment; however, any edits to it will get removed if the file is opened in a newer version of Excel. Learn more: https://go.microsoft.com/fwlink/?linkid=870924
Comment:
    GK pay raise if paycheck is below lower limit.</t>
      </text>
    </comment>
    <comment ref="W2" authorId="10" shapeId="0" xr:uid="{FBC0773C-0C05-43BB-A4A4-896FA94D1B47}">
      <text>
        <t>[Threaded comment]
Your version of Excel allows you to read this threaded comment; however, any edits to it will get removed if the file is opened in a newer version of Excel. Learn more: https://go.microsoft.com/fwlink/?linkid=870924
Comment:
    GK cut if paycheck is greater than upper limit.</t>
      </text>
    </comment>
    <comment ref="AC2" authorId="11" shapeId="0" xr:uid="{538F2A7E-B4DD-4F0B-9DC2-9F31BDDA329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your annual pension amount divided by number of annual periods considered.</t>
      </text>
    </comment>
    <comment ref="AE2" authorId="12" shapeId="0" xr:uid="{66F8D960-F30C-42BE-A83C-3AE96C17C55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your annual social security benefit amount divided by number of annual periods considered.</t>
      </text>
    </comment>
    <comment ref="AH2" authorId="13" shapeId="0" xr:uid="{0A2DA4C8-E0FB-49FC-8006-F74DC496BD6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your ROTH conversion amount for this period.</t>
      </text>
    </comment>
    <comment ref="AJ2" authorId="14" shapeId="0" xr:uid="{64AFFE82-2D92-41D0-BE0D-9219CF70FB4B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other income each period.</t>
      </text>
    </comment>
    <comment ref="AO2" authorId="15" shapeId="0" xr:uid="{CCB4E86B-D302-45EB-82C3-56F6FCA46AC3}">
      <text>
        <t>[Threaded comment]
Your version of Excel allows you to read this threaded comment; however, any edits to it will get removed if the file is opened in a newer version of Excel. Learn more: https://go.microsoft.com/fwlink/?linkid=870924
Comment:
    Cash Flow minus taxes report in Quicken (Less Federal, State and Local Taxes only)</t>
      </text>
    </comment>
    <comment ref="AQ2" authorId="16" shapeId="0" xr:uid="{69F33AFB-DD27-472F-A4A0-C5A5E994CBD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Percent of pay to be reinvested. In my case I reinvest in my taxable as it is hyper tax efficient using Indexed ETFs and Wealthfront's parametric rebalancing and tax loss harvesting.</t>
      </text>
    </comment>
    <comment ref="AT2" authorId="17" shapeId="0" xr:uid="{BC6F18D9-BC96-4C72-9EF1-BBAEF361FE07}">
      <text>
        <t>[Threaded comment]
Your version of Excel allows you to read this threaded comment; however, any edits to it will get removed if the file is opened in a newer version of Excel. Learn more: https://go.microsoft.com/fwlink/?linkid=870924
Comment:
    Cash saved to be pulled for spending when markets are performing poorly.</t>
      </text>
    </comment>
    <comment ref="AZ2" authorId="18" shapeId="0" xr:uid="{823343C2-C5F9-43FD-A961-F7356E5F24F1}">
      <text>
        <t>[Threaded comment]
Your version of Excel allows you to read this threaded comment; however, any edits to it will get removed if the file is opened in a newer version of Excel. Learn more: https://go.microsoft.com/fwlink/?linkid=870924
Comment:
    Federal Tax bracket to fill up.</t>
      </text>
    </comment>
    <comment ref="AW29" authorId="19" shapeId="0" xr:uid="{C45BFD63-3179-4DF0-96B7-BB27C24B770B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Estimated total tax deductions. I normally use the last years as a starting point.</t>
      </text>
    </comment>
    <comment ref="J32" authorId="20" shapeId="0" xr:uid="{CEDE3EF8-B14F-45E6-B00E-228B713DE949}">
      <text>
        <t>[Threaded comment]
Your version of Excel allows you to read this threaded comment; however, any edits to it will get removed if the file is opened in a newer version of Excel. Learn more: https://go.microsoft.com/fwlink/?linkid=870924
Comment:
    Normalization target.</t>
      </text>
    </comment>
    <comment ref="J34" authorId="21" shapeId="0" xr:uid="{96C7C098-13F4-4731-B4A2-B61533AB4A87}">
      <text>
        <t>[Threaded comment]
Your version of Excel allows you to read this threaded comment; however, any edits to it will get removed if the file is opened in a newer version of Excel. Learn more: https://go.microsoft.com/fwlink/?linkid=870924
Comment:
    Copy calculated factor and paste value to apply to all fixed entry amounts.</t>
      </text>
    </comment>
  </commentList>
</comments>
</file>

<file path=xl/sharedStrings.xml><?xml version="1.0" encoding="utf-8"?>
<sst xmlns="http://schemas.openxmlformats.org/spreadsheetml/2006/main" count="508" uniqueCount="99">
  <si>
    <t>Cash</t>
  </si>
  <si>
    <t>Taxable</t>
  </si>
  <si>
    <t>Pension</t>
  </si>
  <si>
    <t>Tax Deferred</t>
  </si>
  <si>
    <t>Tax Free</t>
  </si>
  <si>
    <t>Date</t>
  </si>
  <si>
    <t>Tax Target</t>
  </si>
  <si>
    <t>Invest</t>
  </si>
  <si>
    <t>Social Security</t>
  </si>
  <si>
    <t>Total Assets</t>
  </si>
  <si>
    <t>Paycheck</t>
  </si>
  <si>
    <t>Delta</t>
  </si>
  <si>
    <t>Roth Conversion</t>
  </si>
  <si>
    <t>Totals</t>
  </si>
  <si>
    <t>Tax Rate</t>
  </si>
  <si>
    <t>Inflated Withdrawal</t>
  </si>
  <si>
    <t>Guyton Klinger  Upper</t>
  </si>
  <si>
    <t>Guyton Klinger Lower</t>
  </si>
  <si>
    <t>Guyton Klinger Adjustment</t>
  </si>
  <si>
    <t>Guyton Klinger  Lower</t>
  </si>
  <si>
    <t>Married Filing Joint Tax</t>
  </si>
  <si>
    <t>Single Filing Tax</t>
  </si>
  <si>
    <t>Tax MFJ</t>
  </si>
  <si>
    <t>Tax SF</t>
  </si>
  <si>
    <t>CPI-U</t>
  </si>
  <si>
    <t>Pension Total</t>
  </si>
  <si>
    <t>Invest Total</t>
  </si>
  <si>
    <t>Paycheck Total</t>
  </si>
  <si>
    <t>Withdrawal Delta</t>
  </si>
  <si>
    <t>Guyton Klinger  Pay Cut</t>
  </si>
  <si>
    <t>Guyton Klinger  Pay Raise</t>
  </si>
  <si>
    <t>Annual Periods</t>
  </si>
  <si>
    <t>Annual Periods Adjustment</t>
  </si>
  <si>
    <t>Income Total</t>
  </si>
  <si>
    <t>Taxable Income Total</t>
  </si>
  <si>
    <t>Social Security Total</t>
  </si>
  <si>
    <t>Roth Conversion Total</t>
  </si>
  <si>
    <t>Other Income</t>
  </si>
  <si>
    <t>Estimated Deductions</t>
  </si>
  <si>
    <t>Cash Saved</t>
  </si>
  <si>
    <t>Cash Saved  Total</t>
  </si>
  <si>
    <t>Cash Spent</t>
  </si>
  <si>
    <t>Cash Spent  Total</t>
  </si>
  <si>
    <t>Use:</t>
  </si>
  <si>
    <t>Developed by: Cave Arnold</t>
  </si>
  <si>
    <t>Date: 12/15/2022</t>
  </si>
  <si>
    <t>! Review the backtesting sheets in blue for 2017-2022, then use the empty form in green for 2023.</t>
  </si>
  <si>
    <t>! User input fields are highlighted and commented.</t>
  </si>
  <si>
    <t>! All historical CPI-U are in place and accurate.</t>
  </si>
  <si>
    <t>! All Federal tax brackets are in place and accurate.</t>
  </si>
  <si>
    <t>! The final account balances are carried forward from the year prior.</t>
  </si>
  <si>
    <t>! The final Guyton Klinger adjusted withdrawal percentage is caried forward as the starting withdrawal percentage.</t>
  </si>
  <si>
    <t>Backtesting:</t>
  </si>
  <si>
    <t>! A paycheck amount is calculated for each sub period using the Guyton Klinger guardrails withdrawal approach.</t>
  </si>
  <si>
    <t>! In the backtesting paycheck withdrawals were from tax deferred and reinvestments made to taxable. This aligns with my personal strategy, yours may differ.</t>
  </si>
  <si>
    <t>! This tracks both married filing jointly and single filing for the bracket to be filled and highlights in red once bracket is filled for either.</t>
  </si>
  <si>
    <t>! Enter your actual balances each period.</t>
  </si>
  <si>
    <t xml:space="preserve">! </t>
  </si>
  <si>
    <t>Version: 1.0 Beta</t>
  </si>
  <si>
    <t>Planned Changes:</t>
  </si>
  <si>
    <t>! Update the Federal Tax table values with the new bracket limits.</t>
  </si>
  <si>
    <t>! Decide the percent you will spend and save as cash or reinvest in taxable. If you are able to invest in Roth because of earned income that would be where I would reinvest.</t>
  </si>
  <si>
    <t>! Update the CPI-U NSA value from the website : https://www.bls.gov/cpi/latest-numbers.htm. If you want you may use the SA, just be sure to remain consistent.</t>
  </si>
  <si>
    <t>Estimated Tax Withholding</t>
  </si>
  <si>
    <t>Income</t>
  </si>
  <si>
    <t>! I will add year over year statistics and charts. This is why I kept most all the calculation variables as distinct columns.</t>
  </si>
  <si>
    <t>! The calculated withdrawal is just a suggestion, feel free to modify the Paycheck to your expense needs. Each periods calculation is stateless, there is no direct feedback/feedforward as in the backtesting.</t>
  </si>
  <si>
    <t>! At start of each year copy the Orange template form and update the year in the tab name and date column. 2023 in green is already setup.</t>
  </si>
  <si>
    <t>Contact: CaveArnold@gmail.com</t>
  </si>
  <si>
    <t>I created this spreadsheet for automating and tracking withdrawals using the Guyton-Klinger guardrails methodology. It also tracks other sources of cash flow. It can be used to set a tax target bracket to fill.</t>
  </si>
  <si>
    <t>It also tracks taxable income less standard deductions. I was unable to find any commercial software that had this capability so I created this spreadsheet for myself and others if interested.</t>
  </si>
  <si>
    <t>! Real annual returns from Wealthfront are used in the historical back testing in the examples. I hardcoded in the formulas, if you want you may substitute your own returns.</t>
  </si>
  <si>
    <t>! Set your starting withdrawal rate, I carry the final Guyton Klinger result forward to use as a start in the next year.</t>
  </si>
  <si>
    <t>The more frequent Guyton Klinger guardrail adjustments should lead to a quicker convergence on a sustainable withdrawal rate.</t>
  </si>
  <si>
    <t>Pilot Testing:</t>
  </si>
  <si>
    <t>! I began my 2-4 year pilot of using this adaptive GK Cash Flow tracking methodology in 1/2023.</t>
  </si>
  <si>
    <t>! In order to share the calculations, but not my specific balances I normalized all back to the most commonly used $1,000,000 liquid assets in retirement.</t>
  </si>
  <si>
    <t>! The purple tabs with the year then N are using the same relative distributions of my actual accounts/pension, but scaled to $1,000,000 for easy reference.</t>
  </si>
  <si>
    <t>Spending Less Tax Total</t>
  </si>
  <si>
    <t>Spending Less Tax</t>
  </si>
  <si>
    <t>Paycheck Taxed</t>
  </si>
  <si>
    <t>Social Security Taxed</t>
  </si>
  <si>
    <t>Income Tax Total?</t>
  </si>
  <si>
    <t>Normalization Factor</t>
  </si>
  <si>
    <t>Calculated</t>
  </si>
  <si>
    <t>Applied</t>
  </si>
  <si>
    <t>Pension Projection 59.5</t>
  </si>
  <si>
    <t>Taxable Portfolio</t>
  </si>
  <si>
    <t>Tax Free Portfolio</t>
  </si>
  <si>
    <t>Tax Deferred Portfolio</t>
  </si>
  <si>
    <t>! The taxes part seems a bit fiddley, I will probably make several changes/additions to the calculations for clarification at year end 2023.</t>
  </si>
  <si>
    <t>! I wanted to release the beta version before year end 2022 in case anyone wanted to use or test this out in 2023. I plan to use and enhance in 2023.</t>
  </si>
  <si>
    <t>Change Log:</t>
  </si>
  <si>
    <t>! Added normalization factor calculation so that I and others may share our normalized actuals. Once factor is calculated copy and paste values so actuals are obfuscated.</t>
  </si>
  <si>
    <t>Date: 5/28/2023</t>
  </si>
  <si>
    <t>Version: 1.1 Beta</t>
  </si>
  <si>
    <t>! Included first five months of 2023 normalized calculations.</t>
  </si>
  <si>
    <t>! Included assett allocation for each account type for futher clarification.</t>
  </si>
  <si>
    <t>! For second half of 2023 plan to continue to update 26 periods and  52 periods examples.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</si>
</sst>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0.0%"/>
    <numFmt numFmtId="165" formatCode="_([$$-409]* #,##0.00_);_([$$-409]* \(#,##0.00\);_([$$-409]* &quot;-&quot;??_);_(@_)"/>
    <numFmt numFmtId="166" formatCode="0.0000%"/>
    <numFmt numFmtId="167" formatCode="_([$$-409]* #,##0_);_([$$-409]* \(#,##0\);_([$$-409]* &quot;-&quot;??_);_(@_)"/>
    <numFmt numFmtId="168" formatCode="0.000%"/>
  </numFmts>
  <fonts count="11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omic Sans MS"/>
      <family val="4"/>
    </font>
    <font>
      <b/>
      <sz val="11"/>
      <color rgb="FF000000"/>
      <name val="Comic Sans MS"/>
      <family val="4"/>
    </font>
    <font>
      <b/>
      <sz val="11"/>
      <name val="Comic Sans MS"/>
      <family val="4"/>
    </font>
    <font>
      <b/>
      <sz val="11"/>
      <color rgb="FF00B050"/>
      <name val="Comic Sans MS"/>
      <family val="4"/>
    </font>
    <font>
      <b/>
      <sz val="11"/>
      <color rgb="FF0070C0"/>
      <name val="Comic Sans MS"/>
      <family val="4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 applyBorder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68">
    <xf numFmtId="0" fontId="0" fillId="0" borderId="0" xfId="0"/>
    <xf numFmtId="0" fontId="5" fillId="0" borderId="0" xfId="0" applyFont="1" applyBorder="1"/>
    <xf numFmtId="0" fontId="5" fillId="0" borderId="0" xfId="0" applyFont="1" applyBorder="1" applyAlignment="1">
      <alignment wrapText="1"/>
    </xf>
    <xf numFmtId="0" fontId="6" fillId="0" borderId="5" xfId="0" applyFont="1" applyBorder="1" applyAlignment="1">
      <alignment horizontal="center" vertical="center" wrapText="1"/>
    </xf>
    <xf numFmtId="0" fontId="8" fillId="0" borderId="0" xfId="0" applyFont="1" applyBorder="1"/>
    <xf numFmtId="14" fontId="7" fillId="0" borderId="8" xfId="0" applyNumberFormat="1" applyFont="1" applyBorder="1"/>
    <xf numFmtId="0" fontId="5" fillId="0" borderId="0" xfId="0" applyFont="1" applyBorder="1" applyAlignment="1">
      <alignment horizontal="center" wrapText="1"/>
    </xf>
    <xf numFmtId="44" fontId="8" fillId="0" borderId="7" xfId="5" applyFont="1" applyFill="1" applyBorder="1" applyAlignment="1" applyProtection="1">
      <alignment horizontal="center"/>
    </xf>
    <xf numFmtId="10" fontId="9" fillId="0" borderId="7" xfId="4" applyNumberFormat="1" applyFont="1" applyFill="1" applyBorder="1" applyAlignment="1" applyProtection="1">
      <alignment horizontal="center"/>
    </xf>
    <xf numFmtId="165" fontId="8" fillId="0" borderId="7" xfId="1" applyNumberFormat="1" applyFont="1" applyFill="1" applyBorder="1" applyAlignment="1" applyProtection="1">
      <alignment horizontal="center"/>
    </xf>
    <xf numFmtId="164" fontId="9" fillId="0" borderId="7" xfId="4" applyNumberFormat="1" applyFont="1" applyFill="1" applyBorder="1" applyAlignment="1" applyProtection="1">
      <alignment horizontal="center"/>
    </xf>
    <xf numFmtId="166" fontId="9" fillId="0" borderId="7" xfId="4" applyNumberFormat="1" applyFont="1" applyFill="1" applyBorder="1" applyAlignment="1" applyProtection="1">
      <alignment horizontal="center"/>
    </xf>
    <xf numFmtId="9" fontId="9" fillId="0" borderId="7" xfId="4" applyFont="1" applyFill="1" applyBorder="1" applyAlignment="1" applyProtection="1">
      <alignment horizontal="center"/>
    </xf>
    <xf numFmtId="165" fontId="8" fillId="0" borderId="7" xfId="1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167" fontId="8" fillId="0" borderId="7" xfId="1" applyNumberFormat="1" applyFont="1" applyFill="1" applyBorder="1" applyAlignment="1">
      <alignment horizontal="center"/>
    </xf>
    <xf numFmtId="44" fontId="8" fillId="0" borderId="2" xfId="5" applyFont="1" applyFill="1" applyBorder="1" applyAlignment="1">
      <alignment horizontal="center"/>
    </xf>
    <xf numFmtId="44" fontId="8" fillId="0" borderId="2" xfId="5" applyFont="1" applyFill="1" applyBorder="1" applyAlignment="1" applyProtection="1">
      <alignment horizontal="center"/>
    </xf>
    <xf numFmtId="164" fontId="9" fillId="0" borderId="2" xfId="4" applyNumberFormat="1" applyFont="1" applyFill="1" applyBorder="1" applyAlignment="1" applyProtection="1">
      <alignment horizontal="center"/>
    </xf>
    <xf numFmtId="3" fontId="7" fillId="0" borderId="2" xfId="1" applyNumberFormat="1" applyFont="1" applyFill="1" applyBorder="1" applyAlignment="1" applyProtection="1">
      <alignment horizontal="center"/>
    </xf>
    <xf numFmtId="10" fontId="9" fillId="0" borderId="2" xfId="4" applyNumberFormat="1" applyFont="1" applyFill="1" applyBorder="1" applyAlignment="1" applyProtection="1">
      <alignment horizontal="center"/>
    </xf>
    <xf numFmtId="166" fontId="9" fillId="0" borderId="2" xfId="4" applyNumberFormat="1" applyFont="1" applyFill="1" applyBorder="1" applyAlignment="1" applyProtection="1">
      <alignment horizontal="center"/>
    </xf>
    <xf numFmtId="9" fontId="9" fillId="0" borderId="2" xfId="4" applyFont="1" applyFill="1" applyBorder="1" applyAlignment="1" applyProtection="1">
      <alignment horizontal="center"/>
    </xf>
    <xf numFmtId="44" fontId="8" fillId="0" borderId="2" xfId="5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7" fontId="8" fillId="0" borderId="2" xfId="5" applyNumberFormat="1" applyFont="1" applyBorder="1" applyAlignment="1">
      <alignment horizontal="center"/>
    </xf>
    <xf numFmtId="44" fontId="8" fillId="0" borderId="4" xfId="5" applyFont="1" applyFill="1" applyBorder="1" applyAlignment="1">
      <alignment horizontal="center"/>
    </xf>
    <xf numFmtId="44" fontId="6" fillId="0" borderId="9" xfId="0" applyNumberFormat="1" applyFont="1" applyBorder="1" applyAlignment="1">
      <alignment horizontal="center"/>
    </xf>
    <xf numFmtId="44" fontId="5" fillId="0" borderId="0" xfId="0" applyNumberFormat="1" applyFont="1" applyBorder="1" applyAlignment="1">
      <alignment horizontal="center"/>
    </xf>
    <xf numFmtId="168" fontId="9" fillId="0" borderId="2" xfId="4" applyNumberFormat="1" applyFont="1" applyFill="1" applyBorder="1" applyAlignment="1" applyProtection="1">
      <alignment horizontal="center"/>
    </xf>
    <xf numFmtId="168" fontId="9" fillId="0" borderId="7" xfId="4" applyNumberFormat="1" applyFont="1" applyFill="1" applyBorder="1" applyAlignment="1" applyProtection="1">
      <alignment horizontal="center"/>
    </xf>
    <xf numFmtId="44" fontId="6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14" fontId="7" fillId="0" borderId="3" xfId="0" applyNumberFormat="1" applyFont="1" applyBorder="1"/>
    <xf numFmtId="14" fontId="7" fillId="4" borderId="6" xfId="2" applyNumberFormat="1" applyFont="1" applyFill="1" applyBorder="1"/>
    <xf numFmtId="44" fontId="8" fillId="4" borderId="7" xfId="5" applyFont="1" applyFill="1" applyBorder="1" applyAlignment="1" applyProtection="1">
      <alignment horizontal="center"/>
    </xf>
    <xf numFmtId="44" fontId="8" fillId="4" borderId="7" xfId="5" applyFont="1" applyFill="1" applyBorder="1" applyAlignment="1">
      <alignment horizontal="center"/>
    </xf>
    <xf numFmtId="44" fontId="8" fillId="4" borderId="2" xfId="5" applyFont="1" applyFill="1" applyBorder="1" applyAlignment="1">
      <alignment horizontal="center"/>
    </xf>
    <xf numFmtId="44" fontId="8" fillId="4" borderId="2" xfId="5" applyFont="1" applyFill="1" applyBorder="1" applyAlignment="1" applyProtection="1">
      <alignment horizontal="center"/>
    </xf>
    <xf numFmtId="0" fontId="6" fillId="0" borderId="3" xfId="0" applyFont="1" applyBorder="1" applyAlignment="1">
      <alignment horizontal="center" vertical="center" wrapText="1"/>
    </xf>
    <xf numFmtId="168" fontId="9" fillId="4" borderId="10" xfId="4" applyNumberFormat="1" applyFont="1" applyFill="1" applyBorder="1" applyAlignment="1" applyProtection="1">
      <alignment horizontal="center"/>
    </xf>
    <xf numFmtId="10" fontId="9" fillId="4" borderId="7" xfId="4" applyNumberFormat="1" applyFont="1" applyFill="1" applyBorder="1" applyAlignment="1" applyProtection="1">
      <alignment horizontal="center"/>
    </xf>
    <xf numFmtId="10" fontId="9" fillId="4" borderId="2" xfId="4" applyNumberFormat="1" applyFont="1" applyFill="1" applyBorder="1" applyAlignment="1" applyProtection="1">
      <alignment horizontal="center"/>
    </xf>
    <xf numFmtId="9" fontId="9" fillId="4" borderId="7" xfId="4" applyFont="1" applyFill="1" applyBorder="1" applyAlignment="1" applyProtection="1">
      <alignment horizontal="center"/>
    </xf>
    <xf numFmtId="9" fontId="9" fillId="4" borderId="2" xfId="4" applyFont="1" applyFill="1" applyBorder="1" applyAlignment="1" applyProtection="1">
      <alignment horizontal="center"/>
    </xf>
    <xf numFmtId="165" fontId="8" fillId="4" borderId="7" xfId="1" applyNumberFormat="1" applyFont="1" applyFill="1" applyBorder="1" applyAlignment="1">
      <alignment horizontal="center"/>
    </xf>
    <xf numFmtId="165" fontId="8" fillId="4" borderId="2" xfId="5" applyNumberFormat="1" applyFont="1" applyFill="1" applyBorder="1" applyAlignment="1">
      <alignment horizontal="center"/>
    </xf>
    <xf numFmtId="44" fontId="8" fillId="4" borderId="4" xfId="5" applyFont="1" applyFill="1" applyBorder="1" applyAlignment="1">
      <alignment horizontal="center"/>
    </xf>
    <xf numFmtId="3" fontId="7" fillId="4" borderId="7" xfId="1" applyNumberFormat="1" applyFont="1" applyFill="1" applyBorder="1" applyAlignment="1" applyProtection="1">
      <alignment horizontal="center"/>
    </xf>
    <xf numFmtId="164" fontId="9" fillId="4" borderId="7" xfId="4" applyNumberFormat="1" applyFont="1" applyFill="1" applyBorder="1" applyAlignment="1" applyProtection="1">
      <alignment horizontal="center"/>
    </xf>
    <xf numFmtId="164" fontId="9" fillId="4" borderId="2" xfId="4" applyNumberFormat="1" applyFont="1" applyFill="1" applyBorder="1" applyAlignment="1" applyProtection="1">
      <alignment horizontal="center"/>
    </xf>
    <xf numFmtId="0" fontId="6" fillId="0" borderId="3" xfId="0" applyFont="1" applyBorder="1"/>
    <xf numFmtId="166" fontId="6" fillId="0" borderId="3" xfId="0" applyNumberFormat="1" applyFont="1" applyBorder="1" applyAlignment="1">
      <alignment horizontal="center"/>
    </xf>
    <xf numFmtId="165" fontId="8" fillId="0" borderId="2" xfId="5" applyNumberFormat="1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10" fillId="0" borderId="0" xfId="6"/>
    <xf numFmtId="4" fontId="5" fillId="0" borderId="0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44" fontId="8" fillId="0" borderId="10" xfId="5" applyFont="1" applyFill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5" fillId="0" borderId="12" xfId="0" applyFont="1" applyBorder="1" applyAlignment="1">
      <alignment horizontal="center"/>
    </xf>
    <xf numFmtId="14" fontId="7" fillId="0" borderId="10" xfId="0" applyNumberFormat="1" applyFont="1" applyBorder="1" applyAlignment="1">
      <alignment horizontal="center"/>
    </xf>
    <xf numFmtId="14" fontId="7" fillId="0" borderId="2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49" fontId="6" fillId="0" borderId="3" xfId="0" applyNumberFormat="1" applyFont="1" applyBorder="1" applyAlignment="1">
      <alignment horizontal="center" wrapText="1"/>
    </xf>
    <xf numFmtId="44" fontId="8" fillId="0" borderId="3" xfId="5" applyFont="1" applyFill="1" applyBorder="1" applyAlignment="1" applyProtection="1">
      <alignment horizontal="center"/>
    </xf>
    <xf numFmtId="0" fontId="6" fillId="0" borderId="0" xfId="0" applyFont="1" applyBorder="1" applyAlignment="1">
      <alignment horizontal="left"/>
    </xf>
  </cellXfs>
  <cellStyles count="7">
    <cellStyle name="Currency" xfId="5" builtinId="4"/>
    <cellStyle name="Good" xfId="1" builtinId="26"/>
    <cellStyle name="Hyperlink" xfId="6" builtinId="8"/>
    <cellStyle name="Input" xfId="2" builtinId="20"/>
    <cellStyle name="Normal" xfId="0" builtinId="0"/>
    <cellStyle name="Normal 2" xfId="3" xr:uid="{00000000-0005-0000-0000-000003000000}"/>
    <cellStyle name="Percent" xfId="4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Asset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'GK Cash Flow 2024'!$C$1</c:f>
              <c:strCache>
                <c:ptCount val="1"/>
                <c:pt idx="0">
                  <c:v>Taxable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'GK Cash Flow 2024'!$A$2:$A$28</c:f>
              <c:numCache>
                <c:formatCode>m/d/yyyy</c:formatCode>
                <c:ptCount val="27"/>
                <c:pt idx="0">
                  <c:v>45292</c:v>
                </c:pt>
                <c:pt idx="1">
                  <c:v>45306</c:v>
                </c:pt>
                <c:pt idx="2">
                  <c:v>45320</c:v>
                </c:pt>
                <c:pt idx="3">
                  <c:v>45334</c:v>
                </c:pt>
                <c:pt idx="4">
                  <c:v>45348</c:v>
                </c:pt>
                <c:pt idx="5">
                  <c:v>45362</c:v>
                </c:pt>
                <c:pt idx="6">
                  <c:v>45376</c:v>
                </c:pt>
                <c:pt idx="7">
                  <c:v>45390</c:v>
                </c:pt>
                <c:pt idx="8">
                  <c:v>45404</c:v>
                </c:pt>
                <c:pt idx="9">
                  <c:v>45418</c:v>
                </c:pt>
                <c:pt idx="10">
                  <c:v>45432</c:v>
                </c:pt>
                <c:pt idx="11">
                  <c:v>45446</c:v>
                </c:pt>
                <c:pt idx="12">
                  <c:v>45460</c:v>
                </c:pt>
                <c:pt idx="13">
                  <c:v>45474</c:v>
                </c:pt>
                <c:pt idx="14">
                  <c:v>45488</c:v>
                </c:pt>
                <c:pt idx="15">
                  <c:v>45502</c:v>
                </c:pt>
                <c:pt idx="16">
                  <c:v>45516</c:v>
                </c:pt>
                <c:pt idx="17">
                  <c:v>45530</c:v>
                </c:pt>
                <c:pt idx="18">
                  <c:v>45544</c:v>
                </c:pt>
                <c:pt idx="19">
                  <c:v>45558</c:v>
                </c:pt>
                <c:pt idx="20">
                  <c:v>45572</c:v>
                </c:pt>
                <c:pt idx="21">
                  <c:v>45586</c:v>
                </c:pt>
                <c:pt idx="22">
                  <c:v>45600</c:v>
                </c:pt>
                <c:pt idx="23">
                  <c:v>45614</c:v>
                </c:pt>
                <c:pt idx="24">
                  <c:v>45628</c:v>
                </c:pt>
                <c:pt idx="25">
                  <c:v>45642</c:v>
                </c:pt>
                <c:pt idx="26">
                  <c:v>45656</c:v>
                </c:pt>
              </c:numCache>
            </c:numRef>
          </c:cat>
          <c:val>
            <c:numRef>
              <c:f>'GK Cash Flow 2024'!$C$2:$C$28</c:f>
              <c:numCache>
                <c:formatCode>0.000%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1-4DB2-B31D-BDBBBCD92B8B}"/>
            </c:ext>
          </c:extLst>
        </c:ser>
        <c:ser>
          <c:idx val="1"/>
          <c:order val="1"/>
          <c:tx>
            <c:strRef>
              <c:f>'GK Cash Flow 2024'!$E$1</c:f>
              <c:strCache>
                <c:ptCount val="1"/>
                <c:pt idx="0">
                  <c:v>Tax Free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'GK Cash Flow 2024'!$A$2:$A$28</c:f>
              <c:numCache>
                <c:formatCode>m/d/yyyy</c:formatCode>
                <c:ptCount val="27"/>
                <c:pt idx="0">
                  <c:v>45292</c:v>
                </c:pt>
                <c:pt idx="1">
                  <c:v>45306</c:v>
                </c:pt>
                <c:pt idx="2">
                  <c:v>45320</c:v>
                </c:pt>
                <c:pt idx="3">
                  <c:v>45334</c:v>
                </c:pt>
                <c:pt idx="4">
                  <c:v>45348</c:v>
                </c:pt>
                <c:pt idx="5">
                  <c:v>45362</c:v>
                </c:pt>
                <c:pt idx="6">
                  <c:v>45376</c:v>
                </c:pt>
                <c:pt idx="7">
                  <c:v>45390</c:v>
                </c:pt>
                <c:pt idx="8">
                  <c:v>45404</c:v>
                </c:pt>
                <c:pt idx="9">
                  <c:v>45418</c:v>
                </c:pt>
                <c:pt idx="10">
                  <c:v>45432</c:v>
                </c:pt>
                <c:pt idx="11">
                  <c:v>45446</c:v>
                </c:pt>
                <c:pt idx="12">
                  <c:v>45460</c:v>
                </c:pt>
                <c:pt idx="13">
                  <c:v>45474</c:v>
                </c:pt>
                <c:pt idx="14">
                  <c:v>45488</c:v>
                </c:pt>
                <c:pt idx="15">
                  <c:v>45502</c:v>
                </c:pt>
                <c:pt idx="16">
                  <c:v>45516</c:v>
                </c:pt>
                <c:pt idx="17">
                  <c:v>45530</c:v>
                </c:pt>
                <c:pt idx="18">
                  <c:v>45544</c:v>
                </c:pt>
                <c:pt idx="19">
                  <c:v>45558</c:v>
                </c:pt>
                <c:pt idx="20">
                  <c:v>45572</c:v>
                </c:pt>
                <c:pt idx="21">
                  <c:v>45586</c:v>
                </c:pt>
                <c:pt idx="22">
                  <c:v>45600</c:v>
                </c:pt>
                <c:pt idx="23">
                  <c:v>45614</c:v>
                </c:pt>
                <c:pt idx="24">
                  <c:v>45628</c:v>
                </c:pt>
                <c:pt idx="25">
                  <c:v>45642</c:v>
                </c:pt>
                <c:pt idx="26">
                  <c:v>45656</c:v>
                </c:pt>
              </c:numCache>
            </c:numRef>
          </c:cat>
          <c:val>
            <c:numRef>
              <c:f>'GK Cash Flow 2024'!$E$2:$E$28</c:f>
              <c:numCache>
                <c:formatCode>0.000%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61-4DB2-B31D-BDBBBCD92B8B}"/>
            </c:ext>
          </c:extLst>
        </c:ser>
        <c:ser>
          <c:idx val="2"/>
          <c:order val="2"/>
          <c:tx>
            <c:strRef>
              <c:f>'GK Cash Flow 2024'!$G$1</c:f>
              <c:strCache>
                <c:ptCount val="1"/>
                <c:pt idx="0">
                  <c:v>Tax Deferred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'GK Cash Flow 2024'!$A$2:$A$28</c:f>
              <c:numCache>
                <c:formatCode>m/d/yyyy</c:formatCode>
                <c:ptCount val="27"/>
                <c:pt idx="0">
                  <c:v>45292</c:v>
                </c:pt>
                <c:pt idx="1">
                  <c:v>45306</c:v>
                </c:pt>
                <c:pt idx="2">
                  <c:v>45320</c:v>
                </c:pt>
                <c:pt idx="3">
                  <c:v>45334</c:v>
                </c:pt>
                <c:pt idx="4">
                  <c:v>45348</c:v>
                </c:pt>
                <c:pt idx="5">
                  <c:v>45362</c:v>
                </c:pt>
                <c:pt idx="6">
                  <c:v>45376</c:v>
                </c:pt>
                <c:pt idx="7">
                  <c:v>45390</c:v>
                </c:pt>
                <c:pt idx="8">
                  <c:v>45404</c:v>
                </c:pt>
                <c:pt idx="9">
                  <c:v>45418</c:v>
                </c:pt>
                <c:pt idx="10">
                  <c:v>45432</c:v>
                </c:pt>
                <c:pt idx="11">
                  <c:v>45446</c:v>
                </c:pt>
                <c:pt idx="12">
                  <c:v>45460</c:v>
                </c:pt>
                <c:pt idx="13">
                  <c:v>45474</c:v>
                </c:pt>
                <c:pt idx="14">
                  <c:v>45488</c:v>
                </c:pt>
                <c:pt idx="15">
                  <c:v>45502</c:v>
                </c:pt>
                <c:pt idx="16">
                  <c:v>45516</c:v>
                </c:pt>
                <c:pt idx="17">
                  <c:v>45530</c:v>
                </c:pt>
                <c:pt idx="18">
                  <c:v>45544</c:v>
                </c:pt>
                <c:pt idx="19">
                  <c:v>45558</c:v>
                </c:pt>
                <c:pt idx="20">
                  <c:v>45572</c:v>
                </c:pt>
                <c:pt idx="21">
                  <c:v>45586</c:v>
                </c:pt>
                <c:pt idx="22">
                  <c:v>45600</c:v>
                </c:pt>
                <c:pt idx="23">
                  <c:v>45614</c:v>
                </c:pt>
                <c:pt idx="24">
                  <c:v>45628</c:v>
                </c:pt>
                <c:pt idx="25">
                  <c:v>45642</c:v>
                </c:pt>
                <c:pt idx="26">
                  <c:v>45656</c:v>
                </c:pt>
              </c:numCache>
            </c:numRef>
          </c:cat>
          <c:val>
            <c:numRef>
              <c:f>'GK Cash Flow 2024'!$G$2:$G$28</c:f>
              <c:numCache>
                <c:formatCode>0.000%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61-4DB2-B31D-BDBBBCD92B8B}"/>
            </c:ext>
          </c:extLst>
        </c:ser>
        <c:ser>
          <c:idx val="3"/>
          <c:order val="3"/>
          <c:tx>
            <c:strRef>
              <c:f>'GK Cash Flow 2024'!$I$1</c:f>
              <c:strCache>
                <c:ptCount val="1"/>
                <c:pt idx="0">
                  <c:v>Cash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'GK Cash Flow 2024'!$A$2:$A$28</c:f>
              <c:numCache>
                <c:formatCode>m/d/yyyy</c:formatCode>
                <c:ptCount val="27"/>
                <c:pt idx="0">
                  <c:v>45292</c:v>
                </c:pt>
                <c:pt idx="1">
                  <c:v>45306</c:v>
                </c:pt>
                <c:pt idx="2">
                  <c:v>45320</c:v>
                </c:pt>
                <c:pt idx="3">
                  <c:v>45334</c:v>
                </c:pt>
                <c:pt idx="4">
                  <c:v>45348</c:v>
                </c:pt>
                <c:pt idx="5">
                  <c:v>45362</c:v>
                </c:pt>
                <c:pt idx="6">
                  <c:v>45376</c:v>
                </c:pt>
                <c:pt idx="7">
                  <c:v>45390</c:v>
                </c:pt>
                <c:pt idx="8">
                  <c:v>45404</c:v>
                </c:pt>
                <c:pt idx="9">
                  <c:v>45418</c:v>
                </c:pt>
                <c:pt idx="10">
                  <c:v>45432</c:v>
                </c:pt>
                <c:pt idx="11">
                  <c:v>45446</c:v>
                </c:pt>
                <c:pt idx="12">
                  <c:v>45460</c:v>
                </c:pt>
                <c:pt idx="13">
                  <c:v>45474</c:v>
                </c:pt>
                <c:pt idx="14">
                  <c:v>45488</c:v>
                </c:pt>
                <c:pt idx="15">
                  <c:v>45502</c:v>
                </c:pt>
                <c:pt idx="16">
                  <c:v>45516</c:v>
                </c:pt>
                <c:pt idx="17">
                  <c:v>45530</c:v>
                </c:pt>
                <c:pt idx="18">
                  <c:v>45544</c:v>
                </c:pt>
                <c:pt idx="19">
                  <c:v>45558</c:v>
                </c:pt>
                <c:pt idx="20">
                  <c:v>45572</c:v>
                </c:pt>
                <c:pt idx="21">
                  <c:v>45586</c:v>
                </c:pt>
                <c:pt idx="22">
                  <c:v>45600</c:v>
                </c:pt>
                <c:pt idx="23">
                  <c:v>45614</c:v>
                </c:pt>
                <c:pt idx="24">
                  <c:v>45628</c:v>
                </c:pt>
                <c:pt idx="25">
                  <c:v>45642</c:v>
                </c:pt>
                <c:pt idx="26">
                  <c:v>45656</c:v>
                </c:pt>
              </c:numCache>
            </c:numRef>
          </c:cat>
          <c:val>
            <c:numRef>
              <c:f>'GK Cash Flow 2024'!$I$2:$I$28</c:f>
              <c:numCache>
                <c:formatCode>0.000%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61-4DB2-B31D-BDBBBCD92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112896"/>
        <c:axId val="1632102816"/>
      </c:lineChart>
      <c:dateAx>
        <c:axId val="1632112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102816"/>
        <c:crosses val="autoZero"/>
        <c:auto val="1"/>
        <c:lblOffset val="100"/>
        <c:baseTimeUnit val="days"/>
      </c:dateAx>
      <c:valAx>
        <c:axId val="16321028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1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Withdrawn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'GK Cash Flow 2024'!$O$1</c:f>
              <c:strCache>
                <c:ptCount val="1"/>
                <c:pt idx="0">
                  <c:v>Inflated Withdrawal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'GK Cash Flow 2024'!$A$2:$A$28</c:f>
              <c:numCache>
                <c:formatCode>m/d/yyyy</c:formatCode>
                <c:ptCount val="27"/>
                <c:pt idx="0">
                  <c:v>45292</c:v>
                </c:pt>
                <c:pt idx="1">
                  <c:v>45306</c:v>
                </c:pt>
                <c:pt idx="2">
                  <c:v>45320</c:v>
                </c:pt>
                <c:pt idx="3">
                  <c:v>45334</c:v>
                </c:pt>
                <c:pt idx="4">
                  <c:v>45348</c:v>
                </c:pt>
                <c:pt idx="5">
                  <c:v>45362</c:v>
                </c:pt>
                <c:pt idx="6">
                  <c:v>45376</c:v>
                </c:pt>
                <c:pt idx="7">
                  <c:v>45390</c:v>
                </c:pt>
                <c:pt idx="8">
                  <c:v>45404</c:v>
                </c:pt>
                <c:pt idx="9">
                  <c:v>45418</c:v>
                </c:pt>
                <c:pt idx="10">
                  <c:v>45432</c:v>
                </c:pt>
                <c:pt idx="11">
                  <c:v>45446</c:v>
                </c:pt>
                <c:pt idx="12">
                  <c:v>45460</c:v>
                </c:pt>
                <c:pt idx="13">
                  <c:v>45474</c:v>
                </c:pt>
                <c:pt idx="14">
                  <c:v>45488</c:v>
                </c:pt>
                <c:pt idx="15">
                  <c:v>45502</c:v>
                </c:pt>
                <c:pt idx="16">
                  <c:v>45516</c:v>
                </c:pt>
                <c:pt idx="17">
                  <c:v>45530</c:v>
                </c:pt>
                <c:pt idx="18">
                  <c:v>45544</c:v>
                </c:pt>
                <c:pt idx="19">
                  <c:v>45558</c:v>
                </c:pt>
                <c:pt idx="20">
                  <c:v>45572</c:v>
                </c:pt>
                <c:pt idx="21">
                  <c:v>45586</c:v>
                </c:pt>
                <c:pt idx="22">
                  <c:v>45600</c:v>
                </c:pt>
                <c:pt idx="23">
                  <c:v>45614</c:v>
                </c:pt>
                <c:pt idx="24">
                  <c:v>45628</c:v>
                </c:pt>
                <c:pt idx="25">
                  <c:v>45642</c:v>
                </c:pt>
                <c:pt idx="26">
                  <c:v>45656</c:v>
                </c:pt>
              </c:numCache>
            </c:numRef>
          </c:cat>
          <c:val>
            <c:numRef>
              <c:f>'GK Cash Flow 2024'!$O$2:$O$28</c:f>
              <c:numCache>
                <c:formatCode>0.000%</c:formatCode>
                <c:ptCount val="27"/>
                <c:pt idx="0">
                  <c:v>5.208417704914671E-2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2-4DA2-ACA6-AD43ED930D39}"/>
            </c:ext>
          </c:extLst>
        </c:ser>
        <c:ser>
          <c:idx val="1"/>
          <c:order val="1"/>
          <c:tx>
            <c:strRef>
              <c:f>'GK Cash Flow 2024'!$X$1</c:f>
              <c:strCache>
                <c:ptCount val="1"/>
                <c:pt idx="0">
                  <c:v>Guyton Klinger Adjustment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'GK Cash Flow 2024'!$A$2:$A$28</c:f>
              <c:numCache>
                <c:formatCode>m/d/yyyy</c:formatCode>
                <c:ptCount val="27"/>
                <c:pt idx="0">
                  <c:v>45292</c:v>
                </c:pt>
                <c:pt idx="1">
                  <c:v>45306</c:v>
                </c:pt>
                <c:pt idx="2">
                  <c:v>45320</c:v>
                </c:pt>
                <c:pt idx="3">
                  <c:v>45334</c:v>
                </c:pt>
                <c:pt idx="4">
                  <c:v>45348</c:v>
                </c:pt>
                <c:pt idx="5">
                  <c:v>45362</c:v>
                </c:pt>
                <c:pt idx="6">
                  <c:v>45376</c:v>
                </c:pt>
                <c:pt idx="7">
                  <c:v>45390</c:v>
                </c:pt>
                <c:pt idx="8">
                  <c:v>45404</c:v>
                </c:pt>
                <c:pt idx="9">
                  <c:v>45418</c:v>
                </c:pt>
                <c:pt idx="10">
                  <c:v>45432</c:v>
                </c:pt>
                <c:pt idx="11">
                  <c:v>45446</c:v>
                </c:pt>
                <c:pt idx="12">
                  <c:v>45460</c:v>
                </c:pt>
                <c:pt idx="13">
                  <c:v>45474</c:v>
                </c:pt>
                <c:pt idx="14">
                  <c:v>45488</c:v>
                </c:pt>
                <c:pt idx="15">
                  <c:v>45502</c:v>
                </c:pt>
                <c:pt idx="16">
                  <c:v>45516</c:v>
                </c:pt>
                <c:pt idx="17">
                  <c:v>45530</c:v>
                </c:pt>
                <c:pt idx="18">
                  <c:v>45544</c:v>
                </c:pt>
                <c:pt idx="19">
                  <c:v>45558</c:v>
                </c:pt>
                <c:pt idx="20">
                  <c:v>45572</c:v>
                </c:pt>
                <c:pt idx="21">
                  <c:v>45586</c:v>
                </c:pt>
                <c:pt idx="22">
                  <c:v>45600</c:v>
                </c:pt>
                <c:pt idx="23">
                  <c:v>45614</c:v>
                </c:pt>
                <c:pt idx="24">
                  <c:v>45628</c:v>
                </c:pt>
                <c:pt idx="25">
                  <c:v>45642</c:v>
                </c:pt>
                <c:pt idx="26">
                  <c:v>45656</c:v>
                </c:pt>
              </c:numCache>
            </c:numRef>
          </c:cat>
          <c:val>
            <c:numRef>
              <c:f>'GK Cash Flow 2024'!$X$2:$X$28</c:f>
              <c:numCache>
                <c:formatCode>0.000%</c:formatCode>
                <c:ptCount val="27"/>
                <c:pt idx="0">
                  <c:v>5.208417704914671E-2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2-4DA2-ACA6-AD43ED930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8012416"/>
        <c:axId val="1648012896"/>
      </c:lineChart>
      <c:dateAx>
        <c:axId val="1648012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012896"/>
        <c:crosses val="autoZero"/>
        <c:auto val="1"/>
        <c:lblOffset val="100"/>
        <c:baseTimeUnit val="days"/>
      </c:dateAx>
      <c:valAx>
        <c:axId val="1648012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01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56</xdr:row>
      <xdr:rowOff>0</xdr:rowOff>
    </xdr:from>
    <xdr:to>
      <xdr:col>8</xdr:col>
      <xdr:colOff>200988</xdr:colOff>
      <xdr:row>82</xdr:row>
      <xdr:rowOff>105550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4228075-CD34-4CCF-90B1-7E6A79856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13887450"/>
          <a:ext cx="6897063" cy="555385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56</xdr:row>
      <xdr:rowOff>0</xdr:rowOff>
    </xdr:from>
    <xdr:to>
      <xdr:col>17</xdr:col>
      <xdr:colOff>10499</xdr:colOff>
      <xdr:row>82</xdr:row>
      <xdr:rowOff>134129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96E483-9230-41F2-8889-47EBDC1E3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58225" y="13887450"/>
          <a:ext cx="6982799" cy="5582429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56</xdr:row>
      <xdr:rowOff>0</xdr:rowOff>
    </xdr:from>
    <xdr:to>
      <xdr:col>27</xdr:col>
      <xdr:colOff>67817</xdr:colOff>
      <xdr:row>82</xdr:row>
      <xdr:rowOff>67445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AF2EB02-A168-4292-9CA9-7EC3AEC8C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230600" y="13887450"/>
          <a:ext cx="8183117" cy="551574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9</xdr:col>
      <xdr:colOff>193055</xdr:colOff>
      <xdr:row>51</xdr:row>
      <xdr:rowOff>187002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1B5C5E-0ED1-484B-B0C9-45A886D19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3450" y="8991600"/>
          <a:ext cx="7498730" cy="3596952"/>
        </a:xfrm>
        <a:prstGeom prst="rect">
          <a:avLst/>
        </a:prstGeom>
      </xdr:spPr>
    </xdr:pic>
    <xdr:clientData/>
  </xdr:twoCellAnchor>
  <xdr:twoCellAnchor editAs="oneCell">
    <xdr:from>
      <xdr:col>9</xdr:col>
      <xdr:colOff>466725</xdr:colOff>
      <xdr:row>35</xdr:row>
      <xdr:rowOff>9525</xdr:rowOff>
    </xdr:from>
    <xdr:to>
      <xdr:col>17</xdr:col>
      <xdr:colOff>609074</xdr:colOff>
      <xdr:row>51</xdr:row>
      <xdr:rowOff>208720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DB3C00A-BB3B-726A-67E0-278F3C02B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05850" y="9001125"/>
          <a:ext cx="7114649" cy="36091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36</xdr:row>
      <xdr:rowOff>204787</xdr:rowOff>
    </xdr:from>
    <xdr:to>
      <xdr:col>8</xdr:col>
      <xdr:colOff>390525</xdr:colOff>
      <xdr:row>53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4ED147-6990-4034-8031-EF232774E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481011</xdr:colOff>
      <xdr:row>36</xdr:row>
      <xdr:rowOff>204787</xdr:rowOff>
    </xdr:from>
    <xdr:to>
      <xdr:col>17</xdr:col>
      <xdr:colOff>9525</xdr:colOff>
      <xdr:row>53</xdr:row>
      <xdr:rowOff>200025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3A9B5B-81EC-47E2-9137-3E883D542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58</xdr:row>
      <xdr:rowOff>0</xdr:rowOff>
    </xdr:from>
    <xdr:to>
      <xdr:col>7</xdr:col>
      <xdr:colOff>905838</xdr:colOff>
      <xdr:row>84</xdr:row>
      <xdr:rowOff>105550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AB9AC3F-217D-4BF2-A3D1-88EF59D86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3450" y="19869150"/>
          <a:ext cx="6897063" cy="555385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58</xdr:row>
      <xdr:rowOff>0</xdr:rowOff>
    </xdr:from>
    <xdr:to>
      <xdr:col>17</xdr:col>
      <xdr:colOff>20024</xdr:colOff>
      <xdr:row>84</xdr:row>
      <xdr:rowOff>134129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9AD2282-802D-4048-BC92-16EA98C9C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58225" y="19869150"/>
          <a:ext cx="6982799" cy="5582429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58</xdr:row>
      <xdr:rowOff>0</xdr:rowOff>
    </xdr:from>
    <xdr:to>
      <xdr:col>26</xdr:col>
      <xdr:colOff>972692</xdr:colOff>
      <xdr:row>84</xdr:row>
      <xdr:rowOff>67445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A9AF962-ECB3-41AE-B7D6-43E2DB41B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230600" y="19869150"/>
          <a:ext cx="8183117" cy="551574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ave Arnold" id="{7DBE61F6-1BA5-4407-8B6E-65499799D8BA}" userId="2dde8b3d8b4a230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2-12-16T02:32:15.23" personId="{7DBE61F6-1BA5-4407-8B6E-65499799D8BA}" id="{2D70584C-2BBB-4781-BCA3-FE0D37C25C96}">
    <text>Initial Start date of major period, normally one year.</text>
  </threadedComment>
  <threadedComment ref="B2" dT="2022-12-16T02:34:08.28" personId="{7DBE61F6-1BA5-4407-8B6E-65499799D8BA}" id="{03EA1D3E-4088-4BB5-99BD-17C87736FAB2}">
    <text>Balance of all taxable assets for each sub period.</text>
  </threadedComment>
  <threadedComment ref="D2" dT="2022-12-16T02:35:11.17" personId="{7DBE61F6-1BA5-4407-8B6E-65499799D8BA}" id="{897B3CD6-0E15-4BC8-8612-98D4016B4F7B}">
    <text>Balance of all tax free assets for each sub period.</text>
  </threadedComment>
  <threadedComment ref="F2" dT="2022-12-16T02:35:53.47" personId="{7DBE61F6-1BA5-4407-8B6E-65499799D8BA}" id="{D2B53430-5BB7-4F8D-B3B7-E2BC7FBB39FD}">
    <text>Balance of all tax deferred assets for each sub period.</text>
  </threadedComment>
  <threadedComment ref="H2" dT="2022-12-16T02:37:04.90" personId="{7DBE61F6-1BA5-4407-8B6E-65499799D8BA}" id="{6144AC60-4439-4D69-A2C3-5AAA5C064B56}">
    <text>Balance of all cash assets for each sub period.</text>
  </threadedComment>
  <threadedComment ref="M2" dT="2022-12-16T02:37:46.55" personId="{7DBE61F6-1BA5-4407-8B6E-65499799D8BA}" id="{13F8A790-F48C-45A8-B641-AB936A99A250}">
    <text>Number of sub periods to be calculated.</text>
  </threadedComment>
  <threadedComment ref="N2" dT="2022-12-16T02:43:39.46" personId="{7DBE61F6-1BA5-4407-8B6E-65499799D8BA}" id="{374DCB83-FD89-4736-9428-0E517C097397}">
    <text>CPI-U for sub period. I pull these numbers from here: https://www.bls.gov/cpi/latest-numbers.htm. I use CPI-U, US CITY AVERAGE, ALL ITEMS NSA.</text>
  </threadedComment>
  <threadedComment ref="O2" dT="2022-12-16T02:47:23.42" personId="{7DBE61F6-1BA5-4407-8B6E-65499799D8BA}" id="{5A160585-D75C-4DC4-95CC-CED810BC9BDA}">
    <text>Initial withdrawal rate. Using the GK guardrails you may use a higher withdrawal rate as it will correct up or down between the limits you set.</text>
  </threadedComment>
  <threadedComment ref="R2" dT="2022-12-16T02:48:20.70" personId="{7DBE61F6-1BA5-4407-8B6E-65499799D8BA}" id="{C209E1F1-E278-4890-9D75-4A1122E1C77A}">
    <text>Upper limit guardrail.</text>
  </threadedComment>
  <threadedComment ref="T2" dT="2022-12-16T02:48:46.62" personId="{7DBE61F6-1BA5-4407-8B6E-65499799D8BA}" id="{5D304D58-87AB-4449-A24A-C47E555CC0F4}">
    <text>Lower limit guardrail.</text>
  </threadedComment>
  <threadedComment ref="V2" dT="2022-12-16T02:50:06.13" personId="{7DBE61F6-1BA5-4407-8B6E-65499799D8BA}" id="{06BAEB49-D948-44B1-A8B6-A4465EC6A282}">
    <text>GK pay cut if upper limit is exceeded.</text>
  </threadedComment>
  <threadedComment ref="W2" dT="2022-12-16T02:50:52.67" personId="{7DBE61F6-1BA5-4407-8B6E-65499799D8BA}" id="{C0C74C50-C8D2-4403-933A-1CF471ABDE2A}">
    <text>GK pay raise if lower limit is exceeded.</text>
  </threadedComment>
  <threadedComment ref="AB2" dT="2022-12-16T02:55:08.45" personId="{7DBE61F6-1BA5-4407-8B6E-65499799D8BA}" id="{092BE138-9A0F-4527-BDF2-7764AE22F62C}">
    <text>Percent of pay to be reinvested. In my case I reinvest in my taxable as it is hyper tax efficient using Indexed ETFs and Wealthfront's parametric rebalancing and tax loss harvesting.</text>
  </threadedComment>
  <threadedComment ref="AE2" dT="2022-12-16T02:56:32.86" personId="{7DBE61F6-1BA5-4407-8B6E-65499799D8BA}" id="{17111323-528A-4FE7-BA74-4AC1D11B2188}">
    <text>Cash saved to be pulled for spending when markets are performing poorly.</text>
  </threadedComment>
  <threadedComment ref="AH2" dT="2022-12-16T02:58:12.72" personId="{7DBE61F6-1BA5-4407-8B6E-65499799D8BA}" id="{688BB1A3-1819-4DE5-8E08-55749D688758}">
    <text>This is fuel for fun!</text>
  </threadedComment>
  <threadedComment ref="AK2" dT="2022-12-16T03:00:10.17" personId="{7DBE61F6-1BA5-4407-8B6E-65499799D8BA}" id="{940C69EC-DEF0-4EC1-A5F9-B53895E606F5}">
    <text>This is your annual pension amount divided by number of annual periods considered.</text>
  </threadedComment>
  <threadedComment ref="AM2" dT="2022-12-16T03:01:43.29" personId="{7DBE61F6-1BA5-4407-8B6E-65499799D8BA}" id="{03F0B3D2-A0AE-4A50-BC53-273EE5E45329}">
    <text>This is your annual social security benefit amount divided by number of annual periods considered.</text>
  </threadedComment>
  <threadedComment ref="AO2" dT="2022-12-16T03:02:55.84" personId="{7DBE61F6-1BA5-4407-8B6E-65499799D8BA}" id="{4CFEDC8D-A9F2-448D-BC71-15C330062398}">
    <text>This is your ROTH conversion amount for this period.</text>
  </threadedComment>
  <threadedComment ref="AQ2" dT="2022-12-16T03:03:49.75" personId="{7DBE61F6-1BA5-4407-8B6E-65499799D8BA}" id="{15C81EB0-D274-44BE-A6E4-A03F43B24D5F}">
    <text>Any other income each period.</text>
  </threadedComment>
  <threadedComment ref="AU2" dT="2022-12-16T03:05:05.47" personId="{7DBE61F6-1BA5-4407-8B6E-65499799D8BA}" id="{0E1A2208-4B4D-4EE8-9B80-F3990B56F5F5}">
    <text>Estimated tax deductions. I normally use the last years as a starting point.</text>
  </threadedComment>
  <threadedComment ref="AX2" dT="2022-12-16T03:07:52.02" personId="{7DBE61F6-1BA5-4407-8B6E-65499799D8BA}" id="{323B015A-3400-4201-AFA0-28B6B8C45B3F}">
    <text>Federal Tax bracket to fill up.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2-12-16T02:32:15.23" personId="{7DBE61F6-1BA5-4407-8B6E-65499799D8BA}" id="{E8E2A360-D9B9-4F55-B08D-ED37F67E4BFD}">
    <text>Initial Start date of major period, normally one year.</text>
  </threadedComment>
  <threadedComment ref="B2" dT="2022-12-16T02:34:08.28" personId="{7DBE61F6-1BA5-4407-8B6E-65499799D8BA}" id="{469429CA-421D-4C00-8CAF-3FC8FA57257C}">
    <text>Balance of all taxable assets for each sub period.</text>
  </threadedComment>
  <threadedComment ref="D2" dT="2022-12-16T02:35:11.17" personId="{7DBE61F6-1BA5-4407-8B6E-65499799D8BA}" id="{27190C31-7B3B-471E-8ECF-4DD04C8645BE}">
    <text>Balance of all tax free assets for each sub period.</text>
  </threadedComment>
  <threadedComment ref="F2" dT="2022-12-16T02:35:53.47" personId="{7DBE61F6-1BA5-4407-8B6E-65499799D8BA}" id="{2F71B7EE-C89B-47A6-A53C-BA4B4BAF7323}">
    <text>Balance of all tax deferred assets for each sub period.</text>
  </threadedComment>
  <threadedComment ref="H2" dT="2022-12-16T02:37:04.90" personId="{7DBE61F6-1BA5-4407-8B6E-65499799D8BA}" id="{1B0F4FE5-9DBE-4133-BBA9-0A8E046FFD5D}">
    <text>Balance of all cash assets for each sub period.</text>
  </threadedComment>
  <threadedComment ref="M2" dT="2022-12-16T02:37:46.55" personId="{7DBE61F6-1BA5-4407-8B6E-65499799D8BA}" id="{14C3E458-04FF-418B-BA8A-BC46500F5141}">
    <text>Number of sub periods to be calculated.</text>
  </threadedComment>
  <threadedComment ref="N2" dT="2022-12-16T02:43:39.46" personId="{7DBE61F6-1BA5-4407-8B6E-65499799D8BA}" id="{0CDF4138-AD82-45BE-B32E-0E6F25CC6B80}">
    <text>CPI-U for sub period. I pull these numbers from here: https://www.bls.gov/cpi/latest-numbers.htm. I use CPI-U, US CITY AVERAGE, ALL ITEMS NSA.</text>
  </threadedComment>
  <threadedComment ref="O2" dT="2022-12-16T02:47:23.42" personId="{7DBE61F6-1BA5-4407-8B6E-65499799D8BA}" id="{ABF37B12-8307-4CF9-9A3C-7B8C270634EE}">
    <text>Initial withdrawal rate. Using the GK guardrails you may use a higher withdrawal rate as it will correct up or down between the limits you set.</text>
  </threadedComment>
  <threadedComment ref="R2" dT="2022-12-16T02:48:20.70" personId="{7DBE61F6-1BA5-4407-8B6E-65499799D8BA}" id="{2C9D0E6E-4547-4D5E-B13F-CEC9262BC4CF}">
    <text>Upper limit guardrail.</text>
  </threadedComment>
  <threadedComment ref="T2" dT="2022-12-16T02:48:46.62" personId="{7DBE61F6-1BA5-4407-8B6E-65499799D8BA}" id="{3F21706C-E8AE-44E6-AD42-BD140C5D75D4}">
    <text>Lower limit guardrail.</text>
  </threadedComment>
  <threadedComment ref="V2" dT="2022-12-16T02:50:06.13" personId="{7DBE61F6-1BA5-4407-8B6E-65499799D8BA}" id="{ADCE18C0-05FE-4BEE-A78D-F1B12DDFDD28}">
    <text>GK pay cut if upper limit is exceeded.</text>
  </threadedComment>
  <threadedComment ref="W2" dT="2022-12-16T02:50:52.67" personId="{7DBE61F6-1BA5-4407-8B6E-65499799D8BA}" id="{8C4E631F-81D5-48CF-B1FE-1CA8F3971C89}">
    <text>GK pay raise if lower limit is exceeded.</text>
  </threadedComment>
  <threadedComment ref="AB2" dT="2022-12-16T02:55:08.45" personId="{7DBE61F6-1BA5-4407-8B6E-65499799D8BA}" id="{3A437142-72D5-4B6C-B9E9-C8CA15FBEC8A}">
    <text>Percent of pay to be reinvested. In my case I reinvest in my taxable as it is hyper tax efficient using Indexed ETFs and Wealthfront's parametric rebalancing and tax loss harvesting.</text>
  </threadedComment>
  <threadedComment ref="AE2" dT="2022-12-16T02:56:32.86" personId="{7DBE61F6-1BA5-4407-8B6E-65499799D8BA}" id="{A119BD32-FA64-412D-9B22-85CE1AFF4113}">
    <text>Cash saved to be pulled for spending when markets are performing poorly.</text>
  </threadedComment>
  <threadedComment ref="AH2" dT="2022-12-16T02:58:12.72" personId="{7DBE61F6-1BA5-4407-8B6E-65499799D8BA}" id="{0C6D8F6D-28D8-4C62-8270-9F32D5429BE7}">
    <text>This is fuel for fun!</text>
  </threadedComment>
  <threadedComment ref="AK2" dT="2022-12-16T03:00:10.17" personId="{7DBE61F6-1BA5-4407-8B6E-65499799D8BA}" id="{6010467D-2107-4BA3-AA4E-570A29DD21B0}">
    <text>This is your annual pension amount divided by number of annual periods considered.</text>
  </threadedComment>
  <threadedComment ref="AM2" dT="2022-12-16T03:01:43.29" personId="{7DBE61F6-1BA5-4407-8B6E-65499799D8BA}" id="{625E2A4B-FE8E-4471-8408-AB44089E9231}">
    <text>This is your annual social security benefit amount divided by number of annual periods considered.</text>
  </threadedComment>
  <threadedComment ref="AO2" dT="2022-12-16T03:02:55.84" personId="{7DBE61F6-1BA5-4407-8B6E-65499799D8BA}" id="{680283B2-FF3D-43B1-8ED0-B250E6BB7A89}">
    <text>This is your ROTH conversion amount for this period.</text>
  </threadedComment>
  <threadedComment ref="AQ2" dT="2022-12-16T03:03:49.75" personId="{7DBE61F6-1BA5-4407-8B6E-65499799D8BA}" id="{453BC458-DB5F-4A04-A574-FA9A01ECF481}">
    <text>Any other income each period.</text>
  </threadedComment>
  <threadedComment ref="AU2" dT="2022-12-16T03:05:05.47" personId="{7DBE61F6-1BA5-4407-8B6E-65499799D8BA}" id="{F551D2ED-3197-4CD1-BCEC-450943EB6C80}">
    <text>Estimated tax deductions. I normally use the last years as a starting point.</text>
  </threadedComment>
  <threadedComment ref="AX2" dT="2022-12-16T03:07:52.02" personId="{7DBE61F6-1BA5-4407-8B6E-65499799D8BA}" id="{8D5DF3E8-9005-4CDF-B6AF-527F4CF24218}">
    <text>Federal Tax bracket to fill up.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2-12-16T02:32:15.23" personId="{7DBE61F6-1BA5-4407-8B6E-65499799D8BA}" id="{82FE905F-1267-40A2-9EF5-397B2D9C448A}">
    <text>Initial Start date of major period, normally one year.</text>
  </threadedComment>
  <threadedComment ref="B2" dT="2022-12-16T02:34:08.28" personId="{7DBE61F6-1BA5-4407-8B6E-65499799D8BA}" id="{DD9EFA68-B7C4-4879-8A28-1883E4452601}">
    <text>Balance of all taxable assets for each sub period.</text>
  </threadedComment>
  <threadedComment ref="D2" dT="2022-12-16T02:35:11.17" personId="{7DBE61F6-1BA5-4407-8B6E-65499799D8BA}" id="{6AB32912-D68A-4F20-973E-53D9FFF35436}">
    <text>Balance of all tax free assets for each sub period.</text>
  </threadedComment>
  <threadedComment ref="F2" dT="2022-12-16T02:35:53.47" personId="{7DBE61F6-1BA5-4407-8B6E-65499799D8BA}" id="{4830FC16-FA10-41FA-AE82-2CC1619ECD74}">
    <text>Balance of all tax deferred assets for each sub period.</text>
  </threadedComment>
  <threadedComment ref="H2" dT="2022-12-16T02:37:04.90" personId="{7DBE61F6-1BA5-4407-8B6E-65499799D8BA}" id="{ABBA479F-FA35-42E5-8051-C541C6528FB7}">
    <text>Balance of all cash assets for each sub period.</text>
  </threadedComment>
  <threadedComment ref="M2" dT="2022-12-16T02:37:46.55" personId="{7DBE61F6-1BA5-4407-8B6E-65499799D8BA}" id="{6770467F-957D-4246-90BC-41E8A6EC6F8C}">
    <text>Number of sub periods to be calculated.</text>
  </threadedComment>
  <threadedComment ref="N2" dT="2022-12-16T02:43:39.46" personId="{7DBE61F6-1BA5-4407-8B6E-65499799D8BA}" id="{C707A9A2-C941-414A-AF73-369F0647D043}">
    <text>CPI-U for sub period. I pull these numbers from here: https://www.bls.gov/cpi/latest-numbers.htm. I use CPI-U, US CITY AVERAGE, ALL ITEMS NSA.</text>
  </threadedComment>
  <threadedComment ref="O2" dT="2022-12-16T02:47:23.42" personId="{7DBE61F6-1BA5-4407-8B6E-65499799D8BA}" id="{2C9284D4-74EA-4BC3-8097-07EF79B703F6}">
    <text>Initial withdrawal rate. Using the GK guardrails you may use a higher withdrawal rate as it will correct up or down between the limits you set.</text>
  </threadedComment>
  <threadedComment ref="R2" dT="2022-12-16T02:48:20.70" personId="{7DBE61F6-1BA5-4407-8B6E-65499799D8BA}" id="{FBEB0E8B-FD69-4CAF-93FF-64C62C60B1D1}">
    <text>Upper limit guardrail.</text>
  </threadedComment>
  <threadedComment ref="T2" dT="2022-12-16T02:48:46.62" personId="{7DBE61F6-1BA5-4407-8B6E-65499799D8BA}" id="{D27ADFE0-2CD9-4380-9B94-454276B423FE}">
    <text>Lower limit guardrail.</text>
  </threadedComment>
  <threadedComment ref="V2" dT="2022-12-16T02:50:06.13" personId="{7DBE61F6-1BA5-4407-8B6E-65499799D8BA}" id="{826C11C2-57B2-4C86-9C15-75A36183C5A8}">
    <text>GK pay cut if upper limit is exceeded.</text>
  </threadedComment>
  <threadedComment ref="W2" dT="2022-12-16T02:50:52.67" personId="{7DBE61F6-1BA5-4407-8B6E-65499799D8BA}" id="{50C7BFE0-F5C4-479D-83FF-8B1A4590FD1F}">
    <text>GK pay raise if lower limit is exceeded.</text>
  </threadedComment>
  <threadedComment ref="AB2" dT="2022-12-16T02:55:08.45" personId="{7DBE61F6-1BA5-4407-8B6E-65499799D8BA}" id="{F52EDBDE-1C33-4AE3-90E7-18FAC57CBED9}">
    <text>Percent of pay to be reinvested. In my case I reinvest in my taxable as it is hyper tax efficient using Indexed ETFs and Wealthfront's parametric rebalancing and tax loss harvesting.</text>
  </threadedComment>
  <threadedComment ref="AE2" dT="2022-12-16T02:56:32.86" personId="{7DBE61F6-1BA5-4407-8B6E-65499799D8BA}" id="{24599D3A-FB83-44D6-9CE0-F748499A95D0}">
    <text>Cash saved to be pulled for spending when markets are performing poorly.</text>
  </threadedComment>
  <threadedComment ref="AH2" dT="2022-12-16T02:58:12.72" personId="{7DBE61F6-1BA5-4407-8B6E-65499799D8BA}" id="{D387F189-3382-4ED2-B46F-38415B040D27}">
    <text>This is fuel for fun!</text>
  </threadedComment>
  <threadedComment ref="AK2" dT="2022-12-16T03:00:10.17" personId="{7DBE61F6-1BA5-4407-8B6E-65499799D8BA}" id="{C37487E4-7C7B-4E76-A3E2-474D1554F31C}">
    <text>This is your annual pension amount divided by number of annual periods considered.</text>
  </threadedComment>
  <threadedComment ref="AM2" dT="2022-12-16T03:01:43.29" personId="{7DBE61F6-1BA5-4407-8B6E-65499799D8BA}" id="{88321BBF-85FD-4497-A2A6-93FDB1401405}">
    <text>This is your annual social security benefit amount divided by number of annual periods considered.</text>
  </threadedComment>
  <threadedComment ref="AO2" dT="2022-12-16T03:02:55.84" personId="{7DBE61F6-1BA5-4407-8B6E-65499799D8BA}" id="{6B29E972-A898-4568-AA9F-16EF361534C9}">
    <text>This is your ROTH conversion amount for this period.</text>
  </threadedComment>
  <threadedComment ref="AQ2" dT="2022-12-16T03:03:49.75" personId="{7DBE61F6-1BA5-4407-8B6E-65499799D8BA}" id="{58346696-052B-40ED-ADF0-C36AE21C7B17}">
    <text>Any other income each period.</text>
  </threadedComment>
  <threadedComment ref="AU2" dT="2022-12-16T03:05:05.47" personId="{7DBE61F6-1BA5-4407-8B6E-65499799D8BA}" id="{9E3E8849-AE3B-4324-88EB-337B3006AE64}">
    <text>Estimated tax deductions. I normally use the last years as a starting point.</text>
  </threadedComment>
  <threadedComment ref="AX2" dT="2022-12-16T03:07:52.02" personId="{7DBE61F6-1BA5-4407-8B6E-65499799D8BA}" id="{B2800B8F-CFB4-4AC0-9EAE-007B4FEB25ED}">
    <text>Federal Tax bracket to fill up.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2-12-16T02:32:15.23" personId="{7DBE61F6-1BA5-4407-8B6E-65499799D8BA}" id="{9AE4B422-C33B-4458-912A-92A9A37477DF}">
    <text>Initial Start date of major period, normally one year.</text>
  </threadedComment>
  <threadedComment ref="B2" dT="2022-12-16T02:34:08.28" personId="{7DBE61F6-1BA5-4407-8B6E-65499799D8BA}" id="{E258FDAF-A336-4727-8080-029A349F712F}">
    <text>Balance of all taxable assets for each sub period.</text>
  </threadedComment>
  <threadedComment ref="D2" dT="2022-12-16T02:35:11.17" personId="{7DBE61F6-1BA5-4407-8B6E-65499799D8BA}" id="{ED1D0EF6-A4FA-404D-ABD0-DBE8F0C88CAF}">
    <text>Balance of all tax free assets for each sub period.</text>
  </threadedComment>
  <threadedComment ref="F2" dT="2022-12-16T02:35:53.47" personId="{7DBE61F6-1BA5-4407-8B6E-65499799D8BA}" id="{4716183B-5F73-4EBE-B3A1-E8C482E2ADDF}">
    <text>Balance of all tax deferred assets for each sub period.</text>
  </threadedComment>
  <threadedComment ref="H2" dT="2022-12-16T02:37:04.90" personId="{7DBE61F6-1BA5-4407-8B6E-65499799D8BA}" id="{F73382FC-87B5-4EE8-8C47-8973CD26465C}">
    <text>Balance of all cash assets for each sub period.</text>
  </threadedComment>
  <threadedComment ref="M2" dT="2022-12-16T02:37:46.55" personId="{7DBE61F6-1BA5-4407-8B6E-65499799D8BA}" id="{4B944773-9810-4B3F-8446-8A82D3164618}">
    <text>Number of sub periods to be calculated.</text>
  </threadedComment>
  <threadedComment ref="N2" dT="2022-12-16T02:43:39.46" personId="{7DBE61F6-1BA5-4407-8B6E-65499799D8BA}" id="{849C0A8F-8B08-493E-A0B9-C43E1B2E3626}">
    <text>CPI-U for sub period. I pull these numbers from here: https://www.bls.gov/cpi/latest-numbers.htm. I use CPI-U, US CITY AVERAGE, ALL ITEMS NSA.</text>
  </threadedComment>
  <threadedComment ref="O2" dT="2022-12-16T02:47:23.42" personId="{7DBE61F6-1BA5-4407-8B6E-65499799D8BA}" id="{FC4AEAA9-B405-4EBD-A39E-51ADF9F94CCC}">
    <text>Initial withdrawal rate. Using the GK guardrails you may use a higher withdrawal rate as it will correct up or down between the limits you set.</text>
  </threadedComment>
  <threadedComment ref="R2" dT="2022-12-16T02:48:20.70" personId="{7DBE61F6-1BA5-4407-8B6E-65499799D8BA}" id="{471B911F-35EE-4A36-9FAC-2EE7315659A5}">
    <text>Upper limit guardrail.</text>
  </threadedComment>
  <threadedComment ref="T2" dT="2022-12-16T02:48:46.62" personId="{7DBE61F6-1BA5-4407-8B6E-65499799D8BA}" id="{2C009AA3-A8D8-4FE0-B133-E3D71E238B53}">
    <text>Lower limit guardrail.</text>
  </threadedComment>
  <threadedComment ref="V2" dT="2022-12-16T02:50:06.13" personId="{7DBE61F6-1BA5-4407-8B6E-65499799D8BA}" id="{AC45B0F0-C926-42F1-9847-5DBCF5EF3FCE}">
    <text>GK pay cut if upper limit is exceeded.</text>
  </threadedComment>
  <threadedComment ref="W2" dT="2022-12-16T02:50:52.67" personId="{7DBE61F6-1BA5-4407-8B6E-65499799D8BA}" id="{E46D9B34-ED0C-4893-8D78-FFB32B4FC322}">
    <text>GK pay raise if lower limit is exceeded.</text>
  </threadedComment>
  <threadedComment ref="AB2" dT="2022-12-16T02:55:08.45" personId="{7DBE61F6-1BA5-4407-8B6E-65499799D8BA}" id="{BBA51429-DC80-4E97-8B2B-73DCFA82675D}">
    <text>Percent of pay to be reinvested. In my case I reinvest in my taxable as it is hyper tax efficient using Indexed ETFs and Wealthfront's parametric rebalancing and tax loss harvesting.</text>
  </threadedComment>
  <threadedComment ref="AE2" dT="2022-12-16T02:56:32.86" personId="{7DBE61F6-1BA5-4407-8B6E-65499799D8BA}" id="{ACF77A62-7185-4055-8B02-8FFCCD4F06B5}">
    <text>Cash saved to be pulled for spending when markets are performing poorly.</text>
  </threadedComment>
  <threadedComment ref="AH2" dT="2022-12-16T02:58:12.72" personId="{7DBE61F6-1BA5-4407-8B6E-65499799D8BA}" id="{5FF0B345-423F-49F3-B643-570F9AB0280E}">
    <text>This is fuel for fun!</text>
  </threadedComment>
  <threadedComment ref="AK2" dT="2022-12-16T03:00:10.17" personId="{7DBE61F6-1BA5-4407-8B6E-65499799D8BA}" id="{E2CDE1D3-A29D-43CB-BCD6-626DCCF8ECB2}">
    <text>This is your annual pension amount divided by number of annual periods considered.</text>
  </threadedComment>
  <threadedComment ref="AM2" dT="2022-12-16T03:01:43.29" personId="{7DBE61F6-1BA5-4407-8B6E-65499799D8BA}" id="{04D8D465-9066-41EE-A993-49E0078B4634}">
    <text>This is your annual social security benefit amount divided by number of annual periods considered.</text>
  </threadedComment>
  <threadedComment ref="AO2" dT="2022-12-16T03:02:55.84" personId="{7DBE61F6-1BA5-4407-8B6E-65499799D8BA}" id="{215A10A3-2FE4-4F84-ABEB-4361151B7D75}">
    <text>This is your ROTH conversion amount for this period.</text>
  </threadedComment>
  <threadedComment ref="AQ2" dT="2022-12-16T03:03:49.75" personId="{7DBE61F6-1BA5-4407-8B6E-65499799D8BA}" id="{605F65C2-1284-4DD0-8DB6-5D914F895E29}">
    <text>Any other income each period.</text>
  </threadedComment>
  <threadedComment ref="AU2" dT="2022-12-16T03:05:05.47" personId="{7DBE61F6-1BA5-4407-8B6E-65499799D8BA}" id="{07B76508-006F-43A2-8ABF-FD8FCAA6CD5F}">
    <text>Estimated tax deductions. I normally use the last years as a starting point.</text>
  </threadedComment>
  <threadedComment ref="AX2" dT="2022-12-16T03:07:52.02" personId="{7DBE61F6-1BA5-4407-8B6E-65499799D8BA}" id="{DC195F4B-9666-4E44-98BE-10E525220133}">
    <text>Federal Tax bracket to fill up.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2-12-16T02:32:15.23" personId="{7DBE61F6-1BA5-4407-8B6E-65499799D8BA}" id="{55692D00-65BA-490E-85CD-7E2BD06BEFF3}">
    <text>Initial Start date of major period, normally one year.</text>
  </threadedComment>
  <threadedComment ref="B2" dT="2022-12-16T02:34:08.28" personId="{7DBE61F6-1BA5-4407-8B6E-65499799D8BA}" id="{F13328B4-0AB0-4DB0-9D00-93120EDF144E}">
    <text>Balance of all taxable assets for each sub period.</text>
  </threadedComment>
  <threadedComment ref="D2" dT="2022-12-16T02:35:11.17" personId="{7DBE61F6-1BA5-4407-8B6E-65499799D8BA}" id="{56BBC5B4-CACA-43C3-BA3B-01BF852C4BC9}">
    <text>Balance of all tax free assets for each sub period.</text>
  </threadedComment>
  <threadedComment ref="F2" dT="2022-12-16T02:35:53.47" personId="{7DBE61F6-1BA5-4407-8B6E-65499799D8BA}" id="{7465A086-D634-4154-9531-DECFC4CAD0FC}">
    <text>Balance of all tax deferred assets for each sub period.</text>
  </threadedComment>
  <threadedComment ref="H2" dT="2022-12-16T02:37:04.90" personId="{7DBE61F6-1BA5-4407-8B6E-65499799D8BA}" id="{89DD6AC6-F3A8-4DB4-BE9B-9C8252F96300}">
    <text>Balance of all cash assets for each sub period.</text>
  </threadedComment>
  <threadedComment ref="M2" dT="2022-12-16T02:37:46.55" personId="{7DBE61F6-1BA5-4407-8B6E-65499799D8BA}" id="{C67D9A6F-573E-4126-9CD6-BF99248CE484}">
    <text>Number of sub periods to be calculated.</text>
  </threadedComment>
  <threadedComment ref="N2" dT="2022-12-16T02:43:39.46" personId="{7DBE61F6-1BA5-4407-8B6E-65499799D8BA}" id="{51E528DA-2816-4F1A-87A1-43988A0A341E}">
    <text>CPI-U for sub period. I pull these numbers from here: https://www.bls.gov/cpi/latest-numbers.htm. I use CPI-U, US CITY AVERAGE, ALL ITEMS NSA.</text>
  </threadedComment>
  <threadedComment ref="O2" dT="2022-12-16T02:47:23.42" personId="{7DBE61F6-1BA5-4407-8B6E-65499799D8BA}" id="{C6CC58B8-5A17-43E4-999D-170E17BD30C2}">
    <text>Initial withdrawal rate. Using the GK guardrails you may use a higher withdrawal rate as it will correct up or down between the limits you set.</text>
  </threadedComment>
  <threadedComment ref="R2" dT="2022-12-16T02:48:20.70" personId="{7DBE61F6-1BA5-4407-8B6E-65499799D8BA}" id="{398F8AD3-DA58-40C2-ABC1-7EA64D53EAE7}">
    <text>Upper limit guardrail.</text>
  </threadedComment>
  <threadedComment ref="T2" dT="2022-12-16T02:48:46.62" personId="{7DBE61F6-1BA5-4407-8B6E-65499799D8BA}" id="{17B24054-1D3E-4D3F-9E41-DE5FEEA43321}">
    <text>Lower limit guardrail.</text>
  </threadedComment>
  <threadedComment ref="V2" dT="2022-12-16T02:50:06.13" personId="{7DBE61F6-1BA5-4407-8B6E-65499799D8BA}" id="{A729A3BD-D9AB-4F95-B068-634D2668EBED}">
    <text>GK pay cut if upper limit is exceeded.</text>
  </threadedComment>
  <threadedComment ref="W2" dT="2022-12-16T02:50:52.67" personId="{7DBE61F6-1BA5-4407-8B6E-65499799D8BA}" id="{AB80CB02-CB93-4D59-8297-9D0A1246DF00}">
    <text>GK pay raise if lower limit is exceeded.</text>
  </threadedComment>
  <threadedComment ref="AB2" dT="2022-12-16T02:55:08.45" personId="{7DBE61F6-1BA5-4407-8B6E-65499799D8BA}" id="{375FDB79-3AA0-4B42-980D-2A3B8BA7191C}">
    <text>Percent of pay to be reinvested. In my case I reinvest in my taxable as it is hyper tax efficient using Indexed ETFs and Wealthfront's parametric rebalancing and tax loss harvesting.</text>
  </threadedComment>
  <threadedComment ref="AE2" dT="2022-12-16T02:56:32.86" personId="{7DBE61F6-1BA5-4407-8B6E-65499799D8BA}" id="{F611147F-8282-4294-95C8-A623B8DC8AD2}">
    <text>Cash saved to be pulled for spending when markets are performing poorly.</text>
  </threadedComment>
  <threadedComment ref="AH2" dT="2022-12-16T02:58:12.72" personId="{7DBE61F6-1BA5-4407-8B6E-65499799D8BA}" id="{428EB8FE-8494-48D9-B5B2-13364659DCE5}">
    <text>This is fuel for fun!</text>
  </threadedComment>
  <threadedComment ref="AK2" dT="2022-12-16T03:00:10.17" personId="{7DBE61F6-1BA5-4407-8B6E-65499799D8BA}" id="{E4B0C876-070D-425D-9347-EE03A845AA86}">
    <text>This is your annual pension amount divided by number of annual periods considered.</text>
  </threadedComment>
  <threadedComment ref="AM2" dT="2022-12-16T03:01:43.29" personId="{7DBE61F6-1BA5-4407-8B6E-65499799D8BA}" id="{AED2550B-993C-490D-98C0-D92B79914CD5}">
    <text>This is your annual social security benefit amount divided by number of annual periods considered.</text>
  </threadedComment>
  <threadedComment ref="AO2" dT="2022-12-16T03:02:55.84" personId="{7DBE61F6-1BA5-4407-8B6E-65499799D8BA}" id="{437029CD-2095-4BAC-9861-19949E5026D0}">
    <text>This is your ROTH conversion amount for this period.</text>
  </threadedComment>
  <threadedComment ref="AQ2" dT="2022-12-16T03:03:49.75" personId="{7DBE61F6-1BA5-4407-8B6E-65499799D8BA}" id="{A8F92412-A597-49A8-887E-719BDD6D2AAA}">
    <text>Any other income each period.</text>
  </threadedComment>
  <threadedComment ref="AU2" dT="2022-12-16T03:05:05.47" personId="{7DBE61F6-1BA5-4407-8B6E-65499799D8BA}" id="{97B4EF3C-0819-472B-B74F-51F2E583F829}">
    <text>Estimated tax deductions. I normally use the last years as a starting point.</text>
  </threadedComment>
  <threadedComment ref="AX2" dT="2022-12-16T03:07:52.02" personId="{7DBE61F6-1BA5-4407-8B6E-65499799D8BA}" id="{12CF3128-A36B-4212-90EA-1BC0D6D76E9A}">
    <text>Federal Tax bracket to fill up.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2" dT="2022-12-16T02:32:15.23" personId="{7DBE61F6-1BA5-4407-8B6E-65499799D8BA}" id="{FC39F7B5-D1FA-46D5-A4C4-FF07B0092C2B}">
    <text>Initial Start date of major period, normally one year.</text>
  </threadedComment>
  <threadedComment ref="B2" dT="2022-12-16T02:34:08.28" personId="{7DBE61F6-1BA5-4407-8B6E-65499799D8BA}" id="{2802E5C1-9344-493B-92F4-0ED3DF8E0F8A}">
    <text>Balance of all taxable assets for each sub period.</text>
  </threadedComment>
  <threadedComment ref="D2" dT="2022-12-16T02:35:11.17" personId="{7DBE61F6-1BA5-4407-8B6E-65499799D8BA}" id="{18DC0B9D-9022-4881-9E88-BD5B9F0ADFA1}">
    <text>Balance of all tax free assets for each sub period.</text>
  </threadedComment>
  <threadedComment ref="F2" dT="2022-12-16T02:35:53.47" personId="{7DBE61F6-1BA5-4407-8B6E-65499799D8BA}" id="{1C8BD9FF-ABEA-473E-B474-0E7F06EF7FD1}">
    <text>Balance of all tax deferred assets for each sub period.</text>
  </threadedComment>
  <threadedComment ref="H2" dT="2022-12-16T02:37:04.90" personId="{7DBE61F6-1BA5-4407-8B6E-65499799D8BA}" id="{EFE49CA8-8601-478D-914F-1DA1A62501EF}">
    <text>Balance of all cash assets for each sub period.</text>
  </threadedComment>
  <threadedComment ref="M2" dT="2022-12-16T02:37:46.55" personId="{7DBE61F6-1BA5-4407-8B6E-65499799D8BA}" id="{657C036C-4154-4018-A232-455FC6FB6D1F}">
    <text>Number of sub periods to be calculated.</text>
  </threadedComment>
  <threadedComment ref="N2" dT="2022-12-16T02:43:39.46" personId="{7DBE61F6-1BA5-4407-8B6E-65499799D8BA}" id="{F632C449-FEB8-4FB1-BC24-753282077668}">
    <text>CPI-U for sub period. I pull these numbers from here: https://www.bls.gov/cpi/latest-numbers.htm. I use CPI-U, US CITY AVERAGE, ALL ITEMS NSA.</text>
  </threadedComment>
  <threadedComment ref="O2" dT="2022-12-16T02:47:23.42" personId="{7DBE61F6-1BA5-4407-8B6E-65499799D8BA}" id="{3A663817-AA27-4A0D-901C-A47C23908011}">
    <text>Initial withdrawal rate. Using the GK guardrails you may use a higher withdrawal rate as it will correct up or down between the limits you set.</text>
  </threadedComment>
  <threadedComment ref="R2" dT="2022-12-16T02:48:20.70" personId="{7DBE61F6-1BA5-4407-8B6E-65499799D8BA}" id="{EC4BD741-8982-457F-8EFE-CB1009C01923}">
    <text>Upper limit guardrail.</text>
  </threadedComment>
  <threadedComment ref="T2" dT="2022-12-16T02:48:46.62" personId="{7DBE61F6-1BA5-4407-8B6E-65499799D8BA}" id="{F75190AB-D1A8-4503-ACC2-404DA1CA4DCC}">
    <text>Lower limit guardrail.</text>
  </threadedComment>
  <threadedComment ref="V2" dT="2022-12-16T02:50:06.13" personId="{7DBE61F6-1BA5-4407-8B6E-65499799D8BA}" id="{F5130C08-8031-4377-B211-CE6F446DFCA2}">
    <text>GK pay cut if upper limit is exceeded.</text>
  </threadedComment>
  <threadedComment ref="W2" dT="2022-12-16T02:50:52.67" personId="{7DBE61F6-1BA5-4407-8B6E-65499799D8BA}" id="{2310557C-A6EC-4054-85DF-1BE613CF6569}">
    <text>GK pay raise if lower limit is exceeded.</text>
  </threadedComment>
  <threadedComment ref="AB2" dT="2022-12-16T02:55:08.45" personId="{7DBE61F6-1BA5-4407-8B6E-65499799D8BA}" id="{197DD9E1-02CA-4E69-9A51-8EB972C43C71}">
    <text>Percent of pay to be reinvested. In my case I reinvest in my taxable as it is hyper tax efficient using Indexed ETFs and Wealthfront's parametric rebalancing and tax loss harvesting.</text>
  </threadedComment>
  <threadedComment ref="AE2" dT="2022-12-16T02:56:32.86" personId="{7DBE61F6-1BA5-4407-8B6E-65499799D8BA}" id="{DFC22ED8-E9B0-4FE8-873B-F3F905224D96}">
    <text>Cash saved to be pulled for spending when markets are performing poorly.</text>
  </threadedComment>
  <threadedComment ref="AH2" dT="2022-12-16T02:58:12.72" personId="{7DBE61F6-1BA5-4407-8B6E-65499799D8BA}" id="{F8AD1E49-554B-4421-B0F7-BED545BE896C}">
    <text>This is fuel for fun!</text>
  </threadedComment>
  <threadedComment ref="AK2" dT="2022-12-16T03:00:10.17" personId="{7DBE61F6-1BA5-4407-8B6E-65499799D8BA}" id="{5E34550B-5084-4C81-9091-205910A03521}">
    <text>This is your annual pension amount divided by number of annual periods considered.</text>
  </threadedComment>
  <threadedComment ref="AM2" dT="2022-12-16T03:01:43.29" personId="{7DBE61F6-1BA5-4407-8B6E-65499799D8BA}" id="{1B0762DB-EA95-4231-AA49-DB67948FD524}">
    <text>This is your annual social security benefit amount divided by number of annual periods considered.</text>
  </threadedComment>
  <threadedComment ref="AO2" dT="2022-12-16T03:02:55.84" personId="{7DBE61F6-1BA5-4407-8B6E-65499799D8BA}" id="{209269E0-92C9-4FEF-9978-2498C5B0FA9F}">
    <text>This is your ROTH conversion amount for this period.</text>
  </threadedComment>
  <threadedComment ref="AQ2" dT="2022-12-16T03:03:49.75" personId="{7DBE61F6-1BA5-4407-8B6E-65499799D8BA}" id="{3414BA85-0ECC-4BE1-8754-C6BFF168A5FC}">
    <text>Any other income each period.</text>
  </threadedComment>
  <threadedComment ref="AU2" dT="2022-12-16T03:05:05.47" personId="{7DBE61F6-1BA5-4407-8B6E-65499799D8BA}" id="{9135E022-F333-4F95-B096-68B60DA50DE3}">
    <text>Estimated tax deductions. I normally use the last years as a starting point.</text>
  </threadedComment>
  <threadedComment ref="AX2" dT="2022-12-16T03:07:52.02" personId="{7DBE61F6-1BA5-4407-8B6E-65499799D8BA}" id="{4A13B46B-E45C-47AB-83DF-B9D981E3EDFD}">
    <text>Federal Tax bracket to fill up.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2" dT="2022-12-16T02:32:15.23" personId="{7DBE61F6-1BA5-4407-8B6E-65499799D8BA}" id="{668467CF-AB7D-4F32-959B-DC374BCE3521}">
    <text>Initial Start date of major period, normally one year.</text>
  </threadedComment>
  <threadedComment ref="B2" dT="2023-05-29T02:01:02.21" personId="{7DBE61F6-1BA5-4407-8B6E-65499799D8BA}" id="{A063BD5C-96AB-4834-AEEC-D7E7C3976FCF}">
    <text>Balance of all taxable assets for each sub period.</text>
  </threadedComment>
  <threadedComment ref="D2" dT="2023-05-29T02:02:12.43" personId="{7DBE61F6-1BA5-4407-8B6E-65499799D8BA}" id="{B3B923DC-DAE6-4656-948F-C3D796FA0E14}">
    <text>Balance of all tax free assets for each sub period.</text>
  </threadedComment>
  <threadedComment ref="F2" dT="2023-05-29T02:02:59.28" personId="{7DBE61F6-1BA5-4407-8B6E-65499799D8BA}" id="{6EB35900-FC06-4CF9-8609-E48F75CF1C0A}">
    <text>Balance of all tax deferred assets for each sub period.</text>
  </threadedComment>
  <threadedComment ref="H2" dT="2023-05-29T02:03:58.46" personId="{7DBE61F6-1BA5-4407-8B6E-65499799D8BA}" id="{4288DD40-B546-48E4-8DFB-33A825CFDF40}">
    <text>Balance of all cash assets for each sub period.</text>
  </threadedComment>
  <threadedComment ref="M2" dT="2022-12-16T02:37:46.55" personId="{7DBE61F6-1BA5-4407-8B6E-65499799D8BA}" id="{088DA956-89C6-45EF-B387-82260F3650F3}">
    <text>Number of sub periods to be calculated.</text>
  </threadedComment>
  <threadedComment ref="N2" dT="2022-12-16T02:43:39.46" personId="{7DBE61F6-1BA5-4407-8B6E-65499799D8BA}" id="{5C8DAA5A-65BC-4F7C-949B-276F68BB0D3A}">
    <text>CPI-U for sub period. I pull these numbers from here: https://www.bls.gov/cpi/latest-numbers.htm. I use CPI-U, US CITY AVERAGE, ALL ITEMS NSA.</text>
  </threadedComment>
  <threadedComment ref="O2" dT="2022-12-16T02:47:23.42" personId="{7DBE61F6-1BA5-4407-8B6E-65499799D8BA}" id="{DCFD8F2E-DBE2-4BA9-AB06-126496FD3B65}">
    <text>Initial withdrawal rate. Using the GK guardrails you may use a higher withdrawal rate as it will correct up or down between the limits you set.</text>
  </threadedComment>
  <threadedComment ref="R2" dT="2022-12-16T02:48:20.70" personId="{7DBE61F6-1BA5-4407-8B6E-65499799D8BA}" id="{9CFA9523-4CE4-43AB-99A3-2EECCD088CE7}">
    <text>Upper limit guardrail.</text>
  </threadedComment>
  <threadedComment ref="T2" dT="2022-12-16T02:48:46.62" personId="{7DBE61F6-1BA5-4407-8B6E-65499799D8BA}" id="{B0AC36AF-935F-437F-BC77-F9002EA1341A}">
    <text>Lower limit guardrail.</text>
  </threadedComment>
  <threadedComment ref="V2" dT="2022-12-16T02:50:06.13" personId="{7DBE61F6-1BA5-4407-8B6E-65499799D8BA}" id="{6A5A36ED-1A12-4E46-9564-281E8100934B}">
    <text>GK pay raise if paycheck is below lower limit.</text>
  </threadedComment>
  <threadedComment ref="W2" dT="2022-12-16T02:50:52.67" personId="{7DBE61F6-1BA5-4407-8B6E-65499799D8BA}" id="{9CFC0F92-3F60-43E1-8A9D-7BF6EC2C2680}">
    <text>GK cut if paycheck is greater than upper limit.</text>
  </threadedComment>
  <threadedComment ref="AC2" dT="2022-12-16T03:00:10.17" personId="{7DBE61F6-1BA5-4407-8B6E-65499799D8BA}" id="{AD3145F7-A369-4977-8E9A-759BE1A6F7C3}">
    <text>This is your annual pension amount divided by number of annual periods considered.</text>
  </threadedComment>
  <threadedComment ref="AE2" dT="2022-12-16T03:01:43.29" personId="{7DBE61F6-1BA5-4407-8B6E-65499799D8BA}" id="{A4B8F6A2-6B3D-4CD8-8E11-E7B218A65692}">
    <text>This is your annual social security benefit amount divided by number of annual periods considered.</text>
  </threadedComment>
  <threadedComment ref="AH2" dT="2022-12-16T03:02:55.84" personId="{7DBE61F6-1BA5-4407-8B6E-65499799D8BA}" id="{C1915B8D-1283-46AA-96E1-5F1C87F6C765}">
    <text>This is your ROTH conversion amount for this period.</text>
  </threadedComment>
  <threadedComment ref="AJ2" dT="2022-12-16T03:03:49.75" personId="{7DBE61F6-1BA5-4407-8B6E-65499799D8BA}" id="{5E2E288A-BCB4-4637-BB7D-E443FD8B4D52}">
    <text>Any other income each period.</text>
  </threadedComment>
  <threadedComment ref="AO2" dT="2023-02-23T03:28:04.13" personId="{7DBE61F6-1BA5-4407-8B6E-65499799D8BA}" id="{919E850E-5D75-44E6-8D8E-BCBF374303D0}">
    <text>Cash Flow minus taxes report in Quicken (Less Federal, State and Local Taxes only)</text>
  </threadedComment>
  <threadedComment ref="AQ2" dT="2022-12-16T02:55:08.45" personId="{7DBE61F6-1BA5-4407-8B6E-65499799D8BA}" id="{1C303406-A106-4FDD-B023-9A0B2BCA3531}">
    <text>Percent of pay to be reinvested. In my case I reinvest in my taxable as it is hyper tax efficient using Indexed ETFs and Wealthfront's parametric rebalancing and tax loss harvesting.</text>
  </threadedComment>
  <threadedComment ref="AT2" dT="2022-12-16T02:56:32.86" personId="{7DBE61F6-1BA5-4407-8B6E-65499799D8BA}" id="{B4F2B543-39BA-4C29-A5A7-73560FD5C44F}">
    <text>Cash saved to be pulled for spending when markets are performing poorly.</text>
  </threadedComment>
  <threadedComment ref="AZ2" dT="2022-12-16T03:07:52.02" personId="{7DBE61F6-1BA5-4407-8B6E-65499799D8BA}" id="{77281EA8-346E-41FA-BFDC-13C887760F49}">
    <text>Federal Tax bracket to fill up.</text>
  </threadedComment>
  <threadedComment ref="AW29" dT="2023-03-06T00:50:07.50" personId="{7DBE61F6-1BA5-4407-8B6E-65499799D8BA}" id="{71CA9507-BEAD-4B39-BBD0-0E1A92A062B6}">
    <text>Estimated total tax deductions. I normally use the last years as a starting point.</text>
  </threadedComment>
  <threadedComment ref="J32" dT="2023-05-27T14:44:23.71" personId="{7DBE61F6-1BA5-4407-8B6E-65499799D8BA}" id="{A757172D-F1A9-4A8E-9B3C-EAF5FE85C243}">
    <text>Normalization target.</text>
  </threadedComment>
  <threadedComment ref="J34" dT="2023-05-27T14:46:20.40" personId="{7DBE61F6-1BA5-4407-8B6E-65499799D8BA}" id="{0747EFD6-CF50-4DFD-B5BE-7A1D091F11E8}">
    <text>Copy calculated factor and paste value to apply to all fixed entry amounts.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2" dT="2022-12-16T02:32:15.23" personId="{7DBE61F6-1BA5-4407-8B6E-65499799D8BA}" id="{F571A413-95BC-4328-BF75-6FD4D0067744}">
    <text>Initial Start date of major period, normally one year.</text>
  </threadedComment>
  <threadedComment ref="B2" dT="2023-05-29T02:01:23.16" personId="{7DBE61F6-1BA5-4407-8B6E-65499799D8BA}" id="{9F4DE01F-0E76-4557-968A-69B208257E93}">
    <text>Balance of all taxable assets for each sub period.</text>
  </threadedComment>
  <threadedComment ref="D2" dT="2023-05-29T02:01:55.55" personId="{7DBE61F6-1BA5-4407-8B6E-65499799D8BA}" id="{53B113E1-1E56-4CF2-A6C8-E24F471D7B40}">
    <text>Balance of all tax free assets for each sub period.</text>
  </threadedComment>
  <threadedComment ref="F2" dT="2023-05-29T02:02:49.13" personId="{7DBE61F6-1BA5-4407-8B6E-65499799D8BA}" id="{FB1D5521-0F26-4C08-88C9-AC9F1F8EA510}">
    <text>Balance of all tax deferred assets for each sub period.</text>
  </threadedComment>
  <threadedComment ref="H2" dT="2023-05-29T02:03:26.01" personId="{7DBE61F6-1BA5-4407-8B6E-65499799D8BA}" id="{198B346D-E514-4488-BB46-6CD4D382CD4F}">
    <text>Balance of all cash assets for each sub period.</text>
  </threadedComment>
  <threadedComment ref="M2" dT="2022-12-16T02:37:46.55" personId="{7DBE61F6-1BA5-4407-8B6E-65499799D8BA}" id="{FA04B45D-1EC7-432E-943B-5E0A41A4BDE6}">
    <text>Number of sub periods to be calculated.</text>
  </threadedComment>
  <threadedComment ref="O2" dT="2022-12-16T02:47:23.42" personId="{7DBE61F6-1BA5-4407-8B6E-65499799D8BA}" id="{341CBDD8-E9C2-47C8-B96F-E0AB1EFCFF5F}">
    <text>Initial withdrawal rate. Using the GK guardrails you may use a higher withdrawal rate as it will correct up or down between the limits you set.</text>
  </threadedComment>
  <threadedComment ref="R2" dT="2022-12-16T02:48:20.70" personId="{7DBE61F6-1BA5-4407-8B6E-65499799D8BA}" id="{B8F258FD-ABE1-4CF4-A53F-378023D0AA5C}">
    <text>Upper limit guardrail.</text>
  </threadedComment>
  <threadedComment ref="T2" dT="2022-12-16T02:48:46.62" personId="{7DBE61F6-1BA5-4407-8B6E-65499799D8BA}" id="{69A8C28B-F560-4A31-988B-7EDE6A1E62B6}">
    <text>Lower limit guardrail.</text>
  </threadedComment>
  <threadedComment ref="V2" dT="2022-12-16T02:50:06.13" personId="{7DBE61F6-1BA5-4407-8B6E-65499799D8BA}" id="{BC3F6E77-8F9F-41F1-B2E3-E3D1FB71B57A}">
    <text>GK pay raise if paycheck is below lower limit.</text>
  </threadedComment>
  <threadedComment ref="W2" dT="2022-12-16T02:50:52.67" personId="{7DBE61F6-1BA5-4407-8B6E-65499799D8BA}" id="{FBC0773C-0C05-43BB-A4A4-896FA94D1B47}">
    <text>GK cut if paycheck is greater than upper limit.</text>
  </threadedComment>
  <threadedComment ref="AC2" dT="2022-12-16T03:00:10.17" personId="{7DBE61F6-1BA5-4407-8B6E-65499799D8BA}" id="{538F2A7E-B4DD-4F0B-9DC2-9F31BDDA3297}">
    <text>This is your annual pension amount divided by number of annual periods considered.</text>
  </threadedComment>
  <threadedComment ref="AE2" dT="2022-12-16T03:01:43.29" personId="{7DBE61F6-1BA5-4407-8B6E-65499799D8BA}" id="{66F8D960-F30C-42BE-A83C-3AE96C17C557}">
    <text>This is your annual social security benefit amount divided by number of annual periods considered.</text>
  </threadedComment>
  <threadedComment ref="AH2" dT="2022-12-16T03:02:55.84" personId="{7DBE61F6-1BA5-4407-8B6E-65499799D8BA}" id="{0A2DA4C8-E0FB-49FC-8006-F74DC496BD6D}">
    <text>This is your ROTH conversion amount for this period.</text>
  </threadedComment>
  <threadedComment ref="AJ2" dT="2022-12-16T03:03:49.75" personId="{7DBE61F6-1BA5-4407-8B6E-65499799D8BA}" id="{64AFFE82-2D92-41D0-BE0D-9219CF70FB4B}">
    <text>Any other income each period.</text>
  </threadedComment>
  <threadedComment ref="AO2" dT="2023-02-23T03:28:04.13" personId="{7DBE61F6-1BA5-4407-8B6E-65499799D8BA}" id="{CCB4E86B-D302-45EB-82C3-56F6FCA46AC3}">
    <text>Cash Flow minus taxes report in Quicken (Less Federal, State and Local Taxes only)</text>
  </threadedComment>
  <threadedComment ref="AQ2" dT="2022-12-16T02:55:08.45" personId="{7DBE61F6-1BA5-4407-8B6E-65499799D8BA}" id="{69F33AFB-DD27-472F-A4A0-C5A5E994CBD0}">
    <text>Percent of pay to be reinvested. In my case I reinvest in my taxable as it is hyper tax efficient using Indexed ETFs and Wealthfront's parametric rebalancing and tax loss harvesting.</text>
  </threadedComment>
  <threadedComment ref="AT2" dT="2022-12-16T02:56:32.86" personId="{7DBE61F6-1BA5-4407-8B6E-65499799D8BA}" id="{BC6F18D9-BC96-4C72-9EF1-BBAEF361FE07}">
    <text>Cash saved to be pulled for spending when markets are performing poorly.</text>
  </threadedComment>
  <threadedComment ref="AZ2" dT="2022-12-16T03:07:52.02" personId="{7DBE61F6-1BA5-4407-8B6E-65499799D8BA}" id="{823343C2-C5F9-43FD-A961-F7356E5F24F1}">
    <text>Federal Tax bracket to fill up.</text>
  </threadedComment>
  <threadedComment ref="AW29" dT="2023-03-06T00:50:07.50" personId="{7DBE61F6-1BA5-4407-8B6E-65499799D8BA}" id="{C45BFD63-3179-4DF0-96B7-BB27C24B770B}">
    <text>Estimated total tax deductions. I normally use the last years as a starting point.</text>
  </threadedComment>
  <threadedComment ref="J32" dT="2023-05-27T14:44:23.71" personId="{7DBE61F6-1BA5-4407-8B6E-65499799D8BA}" id="{CEDE3EF8-B14F-45E6-B00E-228B713DE949}">
    <text>Normalization target.</text>
  </threadedComment>
  <threadedComment ref="J34" dT="2023-05-27T14:46:20.40" personId="{7DBE61F6-1BA5-4407-8B6E-65499799D8BA}" id="{96C7C098-13F4-4731-B4A2-B61533AB4A87}">
    <text>Copy calculated factor and paste value to apply to all fixed entry amounts.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s.gov/cpi/latest-numbers.ht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5AD29-EDE1-4306-9306-D16E03DF8E14}">
  <sheetPr>
    <tabColor rgb="FFFF0000"/>
  </sheetPr>
  <dimension ref="A1:A49"/>
  <sheetViews>
    <sheetView workbookViewId="0">
      <selection activeCell="A48" sqref="A48"/>
    </sheetView>
  </sheetViews>
  <sheetFormatPr defaultRowHeight="15" x14ac:dyDescent="0.25"/>
  <cols>
    <col min="1" max="1" width="212.42578125" bestFit="1" customWidth="1"/>
    <col min="2" max="2" width="68.5703125" customWidth="1"/>
  </cols>
  <sheetData>
    <row r="1" spans="1:1" ht="16.5" x14ac:dyDescent="0.3">
      <c r="A1" s="54" t="s">
        <v>44</v>
      </c>
    </row>
    <row r="2" spans="1:1" ht="16.5" x14ac:dyDescent="0.3">
      <c r="A2" s="54" t="s">
        <v>68</v>
      </c>
    </row>
    <row r="3" spans="1:1" ht="16.5" x14ac:dyDescent="0.3">
      <c r="A3" s="54" t="s">
        <v>45</v>
      </c>
    </row>
    <row r="4" spans="1:1" ht="16.5" x14ac:dyDescent="0.3">
      <c r="A4" s="54" t="s">
        <v>58</v>
      </c>
    </row>
    <row r="5" spans="1:1" ht="16.5" x14ac:dyDescent="0.3">
      <c r="A5" s="54"/>
    </row>
    <row r="6" spans="1:1" ht="16.5" x14ac:dyDescent="0.3">
      <c r="A6" s="54" t="s">
        <v>69</v>
      </c>
    </row>
    <row r="7" spans="1:1" ht="16.5" x14ac:dyDescent="0.3">
      <c r="A7" s="54" t="s">
        <v>70</v>
      </c>
    </row>
    <row r="8" spans="1:1" ht="16.5" x14ac:dyDescent="0.3">
      <c r="A8" s="54" t="s">
        <v>73</v>
      </c>
    </row>
    <row r="9" spans="1:1" ht="16.5" x14ac:dyDescent="0.3">
      <c r="A9" s="54"/>
    </row>
    <row r="10" spans="1:1" ht="18" x14ac:dyDescent="0.35">
      <c r="A10" s="55" t="s">
        <v>52</v>
      </c>
    </row>
    <row r="11" spans="1:1" ht="16.5" x14ac:dyDescent="0.3">
      <c r="A11" s="54" t="s">
        <v>46</v>
      </c>
    </row>
    <row r="12" spans="1:1" ht="16.5" x14ac:dyDescent="0.3">
      <c r="A12" s="54" t="s">
        <v>47</v>
      </c>
    </row>
    <row r="13" spans="1:1" ht="16.5" x14ac:dyDescent="0.3">
      <c r="A13" s="54" t="s">
        <v>48</v>
      </c>
    </row>
    <row r="14" spans="1:1" ht="16.5" x14ac:dyDescent="0.3">
      <c r="A14" s="54" t="s">
        <v>49</v>
      </c>
    </row>
    <row r="15" spans="1:1" ht="16.5" x14ac:dyDescent="0.3">
      <c r="A15" s="54" t="s">
        <v>71</v>
      </c>
    </row>
    <row r="16" spans="1:1" ht="16.5" x14ac:dyDescent="0.3">
      <c r="A16" s="54" t="s">
        <v>50</v>
      </c>
    </row>
    <row r="17" spans="1:1" ht="16.5" x14ac:dyDescent="0.3">
      <c r="A17" s="54" t="s">
        <v>51</v>
      </c>
    </row>
    <row r="18" spans="1:1" ht="16.5" x14ac:dyDescent="0.3">
      <c r="A18" s="54" t="s">
        <v>53</v>
      </c>
    </row>
    <row r="19" spans="1:1" ht="16.5" x14ac:dyDescent="0.3">
      <c r="A19" s="54" t="s">
        <v>54</v>
      </c>
    </row>
    <row r="20" spans="1:1" ht="16.5" x14ac:dyDescent="0.3">
      <c r="A20" s="54" t="s">
        <v>55</v>
      </c>
    </row>
    <row r="21" spans="1:1" ht="16.5" x14ac:dyDescent="0.3">
      <c r="A21" s="54"/>
    </row>
    <row r="22" spans="1:1" ht="18" x14ac:dyDescent="0.35">
      <c r="A22" s="55" t="s">
        <v>74</v>
      </c>
    </row>
    <row r="23" spans="1:1" ht="16.5" x14ac:dyDescent="0.3">
      <c r="A23" s="54" t="s">
        <v>77</v>
      </c>
    </row>
    <row r="24" spans="1:1" ht="16.5" x14ac:dyDescent="0.3">
      <c r="A24" s="54" t="s">
        <v>75</v>
      </c>
    </row>
    <row r="25" spans="1:1" ht="16.5" x14ac:dyDescent="0.3">
      <c r="A25" s="54" t="s">
        <v>76</v>
      </c>
    </row>
    <row r="26" spans="1:1" ht="16.5" x14ac:dyDescent="0.3">
      <c r="A26" s="54" t="s">
        <v>57</v>
      </c>
    </row>
    <row r="27" spans="1:1" ht="16.5" x14ac:dyDescent="0.3">
      <c r="A27" s="54"/>
    </row>
    <row r="28" spans="1:1" ht="18" x14ac:dyDescent="0.35">
      <c r="A28" s="55" t="s">
        <v>43</v>
      </c>
    </row>
    <row r="29" spans="1:1" ht="16.5" x14ac:dyDescent="0.3">
      <c r="A29" s="54" t="s">
        <v>67</v>
      </c>
    </row>
    <row r="30" spans="1:1" ht="16.5" x14ac:dyDescent="0.3">
      <c r="A30" s="54" t="s">
        <v>60</v>
      </c>
    </row>
    <row r="31" spans="1:1" x14ac:dyDescent="0.25">
      <c r="A31" s="56" t="s">
        <v>62</v>
      </c>
    </row>
    <row r="32" spans="1:1" ht="16.5" x14ac:dyDescent="0.3">
      <c r="A32" s="54" t="s">
        <v>72</v>
      </c>
    </row>
    <row r="33" spans="1:1" ht="16.5" x14ac:dyDescent="0.3">
      <c r="A33" s="54" t="s">
        <v>56</v>
      </c>
    </row>
    <row r="34" spans="1:1" ht="16.5" x14ac:dyDescent="0.3">
      <c r="A34" s="54" t="s">
        <v>61</v>
      </c>
    </row>
    <row r="35" spans="1:1" ht="16.5" x14ac:dyDescent="0.3">
      <c r="A35" s="54" t="s">
        <v>66</v>
      </c>
    </row>
    <row r="36" spans="1:1" ht="16.5" x14ac:dyDescent="0.3">
      <c r="A36" s="54"/>
    </row>
    <row r="37" spans="1:1" ht="18" x14ac:dyDescent="0.35">
      <c r="A37" s="55" t="s">
        <v>59</v>
      </c>
    </row>
    <row r="38" spans="1:1" ht="16.5" x14ac:dyDescent="0.3">
      <c r="A38" s="54" t="s">
        <v>90</v>
      </c>
    </row>
    <row r="39" spans="1:1" ht="16.5" x14ac:dyDescent="0.3">
      <c r="A39" s="54" t="s">
        <v>91</v>
      </c>
    </row>
    <row r="40" spans="1:1" ht="16.5" x14ac:dyDescent="0.3">
      <c r="A40" s="54" t="s">
        <v>65</v>
      </c>
    </row>
    <row r="41" spans="1:1" ht="16.5" x14ac:dyDescent="0.3">
      <c r="A41" s="54" t="s">
        <v>98</v>
      </c>
    </row>
    <row r="42" spans="1:1" ht="16.5" x14ac:dyDescent="0.3">
      <c r="A42" s="54"/>
    </row>
    <row r="43" spans="1:1" ht="18" x14ac:dyDescent="0.35">
      <c r="A43" s="55" t="s">
        <v>92</v>
      </c>
    </row>
    <row r="44" spans="1:1" ht="16.5" x14ac:dyDescent="0.3">
      <c r="A44" s="54" t="s">
        <v>94</v>
      </c>
    </row>
    <row r="45" spans="1:1" ht="16.5" x14ac:dyDescent="0.3">
      <c r="A45" s="54" t="s">
        <v>95</v>
      </c>
    </row>
    <row r="46" spans="1:1" ht="16.5" x14ac:dyDescent="0.3">
      <c r="A46" s="54" t="s">
        <v>93</v>
      </c>
    </row>
    <row r="47" spans="1:1" ht="16.5" x14ac:dyDescent="0.3">
      <c r="A47" s="54" t="s">
        <v>96</v>
      </c>
    </row>
    <row r="48" spans="1:1" ht="16.5" x14ac:dyDescent="0.3">
      <c r="A48" s="54" t="s">
        <v>97</v>
      </c>
    </row>
    <row r="49" spans="1:1" ht="16.5" x14ac:dyDescent="0.3">
      <c r="A49" s="54"/>
    </row>
  </sheetData>
  <hyperlinks>
    <hyperlink ref="A31" r:id="rId1" xr:uid="{DE2FD352-78C7-4BD9-8C2B-AEB1CBE9A0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2DA2E-747B-4276-8F22-7C0F6DAF4880}">
  <sheetPr>
    <tabColor rgb="FF00B0F0"/>
  </sheetPr>
  <dimension ref="A1:BD32"/>
  <sheetViews>
    <sheetView workbookViewId="0"/>
  </sheetViews>
  <sheetFormatPr defaultColWidth="13.28515625" defaultRowHeight="16.5" x14ac:dyDescent="0.3"/>
  <cols>
    <col min="1" max="1" width="14" style="1" bestFit="1" customWidth="1"/>
    <col min="2" max="2" width="16.85546875" style="24" bestFit="1" customWidth="1"/>
    <col min="3" max="3" width="9.28515625" style="24" bestFit="1" customWidth="1"/>
    <col min="4" max="4" width="16.85546875" style="24" bestFit="1" customWidth="1"/>
    <col min="5" max="5" width="10.7109375" style="24" bestFit="1" customWidth="1"/>
    <col min="6" max="6" width="16.85546875" style="24" bestFit="1" customWidth="1"/>
    <col min="7" max="7" width="15.7109375" style="24" bestFit="1" customWidth="1"/>
    <col min="8" max="8" width="15.5703125" style="24" bestFit="1" customWidth="1"/>
    <col min="9" max="9" width="6.5703125" style="24" bestFit="1" customWidth="1"/>
    <col min="10" max="10" width="19.28515625" style="24" bestFit="1" customWidth="1"/>
    <col min="11" max="11" width="14.28515625" style="24" bestFit="1" customWidth="1"/>
    <col min="12" max="12" width="6.7109375" style="24" bestFit="1" customWidth="1"/>
    <col min="13" max="13" width="8.5703125" style="24" customWidth="1"/>
    <col min="14" max="14" width="7.85546875" style="24" bestFit="1" customWidth="1"/>
    <col min="15" max="15" width="13" style="24" bestFit="1" customWidth="1"/>
    <col min="16" max="16" width="15.5703125" style="24" bestFit="1" customWidth="1"/>
    <col min="17" max="17" width="13" style="24" bestFit="1" customWidth="1"/>
    <col min="18" max="18" width="9.140625" style="24" bestFit="1" customWidth="1"/>
    <col min="19" max="19" width="16.28515625" style="24" bestFit="1" customWidth="1"/>
    <col min="20" max="20" width="10.42578125" style="24" bestFit="1" customWidth="1"/>
    <col min="21" max="21" width="15.5703125" style="24" bestFit="1" customWidth="1"/>
    <col min="22" max="22" width="10.42578125" style="24" bestFit="1" customWidth="1"/>
    <col min="23" max="23" width="11" style="24" bestFit="1" customWidth="1"/>
    <col min="24" max="25" width="13.140625" style="24" bestFit="1" customWidth="1"/>
    <col min="26" max="27" width="15.5703125" style="24" bestFit="1" customWidth="1"/>
    <col min="28" max="28" width="7.7109375" style="24" bestFit="1" customWidth="1"/>
    <col min="29" max="30" width="14.28515625" style="24" bestFit="1" customWidth="1"/>
    <col min="31" max="31" width="7.28515625" style="24" bestFit="1" customWidth="1"/>
    <col min="32" max="33" width="15.5703125" style="24" bestFit="1" customWidth="1"/>
    <col min="34" max="34" width="7.140625" style="24" bestFit="1" customWidth="1"/>
    <col min="35" max="38" width="15.5703125" style="24" bestFit="1" customWidth="1"/>
    <col min="39" max="40" width="9.85546875" style="24" bestFit="1" customWidth="1"/>
    <col min="41" max="42" width="11.85546875" style="24" bestFit="1" customWidth="1"/>
    <col min="43" max="44" width="9.28515625" style="24" bestFit="1" customWidth="1"/>
    <col min="45" max="45" width="16.85546875" style="24" bestFit="1" customWidth="1"/>
    <col min="46" max="47" width="15.5703125" style="24" bestFit="1" customWidth="1"/>
    <col min="48" max="49" width="16.42578125" style="24" bestFit="1" customWidth="1"/>
    <col min="50" max="50" width="8.140625" style="24" bestFit="1" customWidth="1"/>
    <col min="51" max="52" width="5.5703125" style="24" bestFit="1" customWidth="1"/>
    <col min="53" max="53" width="8.42578125" style="24" customWidth="1"/>
    <col min="54" max="54" width="6" style="24" bestFit="1" customWidth="1"/>
    <col min="55" max="55" width="15.7109375" style="24" bestFit="1" customWidth="1"/>
    <col min="56" max="56" width="13.5703125" style="24" customWidth="1"/>
    <col min="57" max="57" width="23.85546875" style="1" bestFit="1" customWidth="1"/>
    <col min="58" max="16384" width="13.28515625" style="1"/>
  </cols>
  <sheetData>
    <row r="1" spans="1:56" s="2" customFormat="1" ht="54.75" thickBot="1" x14ac:dyDescent="0.35">
      <c r="A1" s="3" t="s">
        <v>5</v>
      </c>
      <c r="B1" s="3" t="s">
        <v>1</v>
      </c>
      <c r="C1" s="3" t="s">
        <v>1</v>
      </c>
      <c r="D1" s="3" t="s">
        <v>4</v>
      </c>
      <c r="E1" s="3" t="s">
        <v>4</v>
      </c>
      <c r="F1" s="3" t="s">
        <v>3</v>
      </c>
      <c r="G1" s="3" t="s">
        <v>3</v>
      </c>
      <c r="H1" s="3" t="s">
        <v>0</v>
      </c>
      <c r="I1" s="3" t="s">
        <v>0</v>
      </c>
      <c r="J1" s="3" t="s">
        <v>9</v>
      </c>
      <c r="K1" s="3" t="s">
        <v>11</v>
      </c>
      <c r="L1" s="3" t="s">
        <v>11</v>
      </c>
      <c r="M1" s="3" t="s">
        <v>31</v>
      </c>
      <c r="N1" s="3" t="s">
        <v>24</v>
      </c>
      <c r="O1" s="39" t="s">
        <v>15</v>
      </c>
      <c r="P1" s="3" t="s">
        <v>15</v>
      </c>
      <c r="Q1" s="3" t="s">
        <v>28</v>
      </c>
      <c r="R1" s="3" t="s">
        <v>16</v>
      </c>
      <c r="S1" s="3" t="s">
        <v>16</v>
      </c>
      <c r="T1" s="3" t="s">
        <v>17</v>
      </c>
      <c r="U1" s="3" t="s">
        <v>19</v>
      </c>
      <c r="V1" s="3" t="s">
        <v>29</v>
      </c>
      <c r="W1" s="3" t="s">
        <v>30</v>
      </c>
      <c r="X1" s="3" t="s">
        <v>18</v>
      </c>
      <c r="Y1" s="3" t="s">
        <v>32</v>
      </c>
      <c r="Z1" s="3" t="s">
        <v>10</v>
      </c>
      <c r="AA1" s="3" t="s">
        <v>27</v>
      </c>
      <c r="AB1" s="3" t="s">
        <v>7</v>
      </c>
      <c r="AC1" s="3" t="s">
        <v>7</v>
      </c>
      <c r="AD1" s="3" t="s">
        <v>26</v>
      </c>
      <c r="AE1" s="3" t="s">
        <v>39</v>
      </c>
      <c r="AF1" s="3" t="s">
        <v>39</v>
      </c>
      <c r="AG1" s="3" t="s">
        <v>40</v>
      </c>
      <c r="AH1" s="3" t="s">
        <v>41</v>
      </c>
      <c r="AI1" s="3" t="s">
        <v>41</v>
      </c>
      <c r="AJ1" s="3" t="s">
        <v>42</v>
      </c>
      <c r="AK1" s="3" t="s">
        <v>2</v>
      </c>
      <c r="AL1" s="3" t="s">
        <v>25</v>
      </c>
      <c r="AM1" s="3" t="s">
        <v>8</v>
      </c>
      <c r="AN1" s="3" t="s">
        <v>35</v>
      </c>
      <c r="AO1" s="3" t="s">
        <v>12</v>
      </c>
      <c r="AP1" s="3" t="s">
        <v>36</v>
      </c>
      <c r="AQ1" s="3" t="s">
        <v>37</v>
      </c>
      <c r="AR1" s="3" t="s">
        <v>37</v>
      </c>
      <c r="AS1" s="3" t="s">
        <v>64</v>
      </c>
      <c r="AT1" s="3" t="s">
        <v>33</v>
      </c>
      <c r="AU1" s="3" t="s">
        <v>38</v>
      </c>
      <c r="AV1" s="3" t="s">
        <v>34</v>
      </c>
      <c r="AW1" s="3" t="s">
        <v>63</v>
      </c>
      <c r="AX1" s="3" t="s">
        <v>6</v>
      </c>
      <c r="AY1" s="3" t="s">
        <v>22</v>
      </c>
      <c r="AZ1" s="3" t="s">
        <v>23</v>
      </c>
      <c r="BA1" s="6"/>
      <c r="BB1" s="3" t="s">
        <v>14</v>
      </c>
      <c r="BC1" s="3" t="s">
        <v>20</v>
      </c>
      <c r="BD1" s="3" t="s">
        <v>21</v>
      </c>
    </row>
    <row r="2" spans="1:56" s="4" customFormat="1" ht="18.75" thickBot="1" x14ac:dyDescent="0.4">
      <c r="A2" s="34">
        <v>42736</v>
      </c>
      <c r="B2" s="35">
        <v>120891.9971511883</v>
      </c>
      <c r="C2" s="10">
        <f>IF(J2&lt;=0,0,B2/J2)</f>
        <v>0.1208919971511883</v>
      </c>
      <c r="D2" s="35">
        <v>127168.22636272201</v>
      </c>
      <c r="E2" s="10">
        <f>IF(J2&lt;=0,0,D2/J2)</f>
        <v>0.12716822636272201</v>
      </c>
      <c r="F2" s="35">
        <v>742580.49767266202</v>
      </c>
      <c r="G2" s="10">
        <f>IF(J2&lt;=0,0,F2/J2)</f>
        <v>0.74258049767266199</v>
      </c>
      <c r="H2" s="35">
        <v>9359.278813427718</v>
      </c>
      <c r="I2" s="10">
        <f>IF(J2&lt;=0,0,H2/J2)</f>
        <v>9.3592788134277179E-3</v>
      </c>
      <c r="J2" s="9">
        <f>B2+D2+F2+H2</f>
        <v>1000000</v>
      </c>
      <c r="K2" s="7">
        <v>0</v>
      </c>
      <c r="L2" s="10">
        <v>0</v>
      </c>
      <c r="M2" s="48">
        <v>26</v>
      </c>
      <c r="N2" s="49">
        <v>6.0000000000000001E-3</v>
      </c>
      <c r="O2" s="40">
        <v>0.05</v>
      </c>
      <c r="P2" s="9">
        <f t="shared" ref="P2:P28" si="0">J2*O2</f>
        <v>50000</v>
      </c>
      <c r="Q2" s="8">
        <v>0</v>
      </c>
      <c r="R2" s="41">
        <v>0.2</v>
      </c>
      <c r="S2" s="9">
        <f>IF($P$2&gt;0,$P$2+$P$2*R2)</f>
        <v>60000</v>
      </c>
      <c r="T2" s="41">
        <v>-0.2</v>
      </c>
      <c r="U2" s="9">
        <f>IF($P$2&gt;0,$P$2+$P$2*T2)</f>
        <v>40000</v>
      </c>
      <c r="V2" s="41">
        <v>-0.1</v>
      </c>
      <c r="W2" s="41">
        <v>0.1</v>
      </c>
      <c r="X2" s="30">
        <f>O2</f>
        <v>0.05</v>
      </c>
      <c r="Y2" s="11">
        <f t="shared" ref="Y2:Y28" si="1">X2/M2</f>
        <v>1.9230769230769232E-3</v>
      </c>
      <c r="Z2" s="9">
        <f t="shared" ref="Z2:Z28" si="2">Y2*J2</f>
        <v>1923.0769230769231</v>
      </c>
      <c r="AA2" s="9">
        <f>Z2</f>
        <v>1923.0769230769231</v>
      </c>
      <c r="AB2" s="43">
        <v>0</v>
      </c>
      <c r="AC2" s="9">
        <f>Z2*AB2</f>
        <v>0</v>
      </c>
      <c r="AD2" s="9">
        <f>AC2</f>
        <v>0</v>
      </c>
      <c r="AE2" s="43">
        <v>0.3</v>
      </c>
      <c r="AF2" s="9">
        <f>Z2*AE2</f>
        <v>576.92307692307691</v>
      </c>
      <c r="AG2" s="9">
        <f>AF2</f>
        <v>576.92307692307691</v>
      </c>
      <c r="AH2" s="43">
        <v>0.7</v>
      </c>
      <c r="AI2" s="9">
        <f>Z2*AH2</f>
        <v>1346.1538461538462</v>
      </c>
      <c r="AJ2" s="9">
        <f>AI2</f>
        <v>1346.1538461538462</v>
      </c>
      <c r="AK2" s="36">
        <f>30000/M2</f>
        <v>1153.8461538461538</v>
      </c>
      <c r="AL2" s="9">
        <f>AK2</f>
        <v>1153.8461538461538</v>
      </c>
      <c r="AM2" s="36">
        <v>1</v>
      </c>
      <c r="AN2" s="13">
        <f>AM2</f>
        <v>1</v>
      </c>
      <c r="AO2" s="36">
        <v>1</v>
      </c>
      <c r="AP2" s="13">
        <f>AO2</f>
        <v>1</v>
      </c>
      <c r="AQ2" s="36">
        <v>1</v>
      </c>
      <c r="AR2" s="13">
        <f>AQ2</f>
        <v>1</v>
      </c>
      <c r="AS2" s="9">
        <f>Z2+AK2+AM2+AO2+AQ2</f>
        <v>3079.9230769230771</v>
      </c>
      <c r="AT2" s="9">
        <f>Z2+AK2+AM2+AO2+AQ2</f>
        <v>3079.9230769230771</v>
      </c>
      <c r="AU2" s="45">
        <v>12700</v>
      </c>
      <c r="AV2" s="9">
        <f>AT2-AU2</f>
        <v>-9620.076923076922</v>
      </c>
      <c r="AW2" s="9">
        <f>AS2*AY2</f>
        <v>0</v>
      </c>
      <c r="AX2" s="43">
        <v>0.12</v>
      </c>
      <c r="AY2" s="12">
        <f t="shared" ref="AY2:AY28" si="3">IF(AV2&lt;$BC$2,0,IF(AV2&lt;$BC$3,$BB$2,IF(AV2&lt;$BC$4,$BB$3,IF(AV2&lt;$BC$5,$BB$4,IF(AV2&lt;$BC$6,$BB$5,IF(AV2&lt;$BC$7,$BB$6,IF(AV2&lt;$BC$8,$BB$7,$BB$8)))))))</f>
        <v>0</v>
      </c>
      <c r="AZ2" s="12">
        <f>IF(AV2&lt;$BD$2,0,IF(AV2&lt;$BD$3,$BB$2,IF(AV2&lt;$BD$4,$BB$3,IF(AV2&lt;$BD$5,$BB$4,IF(AV2&lt;$BD$6,$BB$5,IF(AV2&lt;$BD$7,$BB$6,IF(AV2&lt;$BD$8,$BB$7,$BB$8)))))))</f>
        <v>0</v>
      </c>
      <c r="BA2" s="14"/>
      <c r="BB2" s="12">
        <v>0.1</v>
      </c>
      <c r="BC2" s="15">
        <v>0</v>
      </c>
      <c r="BD2" s="15">
        <v>0</v>
      </c>
    </row>
    <row r="3" spans="1:56" ht="18.75" thickBot="1" x14ac:dyDescent="0.4">
      <c r="A3" s="5">
        <f>A2+FLOOR(365/$M$2,1)</f>
        <v>42750</v>
      </c>
      <c r="B3" s="37">
        <f>(B2+AC2)*(1+0.1445/M3)</f>
        <v>121563.87767381703</v>
      </c>
      <c r="C3" s="18">
        <f t="shared" ref="C3:C28" si="4">IF(J3&lt;=0,0,B3/J3)</f>
        <v>0.12089863655856772</v>
      </c>
      <c r="D3" s="37">
        <f>D2*(1+0.1445/M3)</f>
        <v>127874.98823616098</v>
      </c>
      <c r="E3" s="18">
        <f t="shared" ref="E3:E28" si="5">IF(J3&lt;=0,0,D3/J3)</f>
        <v>0.12717521046159072</v>
      </c>
      <c r="F3" s="37">
        <f>(F2-(AC2+AF2))*(1+0.1445/M3)</f>
        <v>746127.40215454984</v>
      </c>
      <c r="G3" s="18">
        <f t="shared" ref="G3:G28" si="6">IF(J3&lt;=0,0,F3/J3)</f>
        <v>0.74204432554803368</v>
      </c>
      <c r="H3" s="38">
        <f t="shared" ref="H3:H28" si="7">H2+AF2</f>
        <v>9936.2018903507942</v>
      </c>
      <c r="I3" s="18">
        <f t="shared" ref="I3:I28" si="8">IF(J3&lt;=0,0,H3/J3)</f>
        <v>9.8818274318079758E-3</v>
      </c>
      <c r="J3" s="17">
        <f>B3+D3+F3+H3</f>
        <v>1005502.4699548786</v>
      </c>
      <c r="K3" s="16">
        <f>IF(J3=0,0,J3-J2)</f>
        <v>5502.4699548785575</v>
      </c>
      <c r="L3" s="18">
        <f>IF(J3=0,0,K3/J2)</f>
        <v>5.5024699548785576E-3</v>
      </c>
      <c r="M3" s="19">
        <f>M2</f>
        <v>26</v>
      </c>
      <c r="N3" s="50">
        <v>6.0000000000000001E-3</v>
      </c>
      <c r="O3" s="29">
        <f t="shared" ref="O3:O28" si="9">IF(J3=0,0,X2*(1+N3))</f>
        <v>5.0300000000000004E-2</v>
      </c>
      <c r="P3" s="17">
        <f t="shared" si="0"/>
        <v>50576.774238730395</v>
      </c>
      <c r="Q3" s="20">
        <f>IF(P3=0,0,(P3-P2)/P2)</f>
        <v>1.1535484774607902E-2</v>
      </c>
      <c r="R3" s="42">
        <f>R2</f>
        <v>0.2</v>
      </c>
      <c r="S3" s="17">
        <f t="shared" ref="S3:U28" si="10">IF($P$2&gt;0,$P$2+$P$2*R3)</f>
        <v>60000</v>
      </c>
      <c r="T3" s="42">
        <f t="shared" ref="T3:V18" si="11">T2</f>
        <v>-0.2</v>
      </c>
      <c r="U3" s="17">
        <f t="shared" si="10"/>
        <v>40000</v>
      </c>
      <c r="V3" s="42">
        <f t="shared" si="11"/>
        <v>-0.1</v>
      </c>
      <c r="W3" s="42">
        <f t="shared" ref="W3:W28" si="12">W2</f>
        <v>0.1</v>
      </c>
      <c r="X3" s="29">
        <f t="shared" ref="X3:X28" si="13">IF(P3&gt;S3,O3+O3*V3,IF(P3&lt;U3,O3+O3*W3,O3))</f>
        <v>5.0300000000000004E-2</v>
      </c>
      <c r="Y3" s="21">
        <f t="shared" si="1"/>
        <v>1.9346153846153849E-3</v>
      </c>
      <c r="Z3" s="17">
        <f t="shared" si="2"/>
        <v>1945.2605476434769</v>
      </c>
      <c r="AA3" s="17">
        <f>AA2+Z3</f>
        <v>3868.3374707204002</v>
      </c>
      <c r="AB3" s="44">
        <v>0</v>
      </c>
      <c r="AC3" s="17">
        <f t="shared" ref="AC3:AC28" si="14">Z3*AB3</f>
        <v>0</v>
      </c>
      <c r="AD3" s="17">
        <f>AD2+AC3</f>
        <v>0</v>
      </c>
      <c r="AE3" s="44">
        <v>0.3</v>
      </c>
      <c r="AF3" s="17">
        <f t="shared" ref="AF3:AF28" si="15">Z3*AE3</f>
        <v>583.57816429304307</v>
      </c>
      <c r="AG3" s="17">
        <f>AG2+AF3</f>
        <v>1160.50124121612</v>
      </c>
      <c r="AH3" s="44">
        <v>0.7</v>
      </c>
      <c r="AI3" s="17">
        <f t="shared" ref="AI3:AI28" si="16">Z3*AH3</f>
        <v>1361.6823833504338</v>
      </c>
      <c r="AJ3" s="17">
        <f>AJ2+AI3</f>
        <v>2707.8362295042798</v>
      </c>
      <c r="AK3" s="37">
        <f>AK2</f>
        <v>1153.8461538461538</v>
      </c>
      <c r="AL3" s="17">
        <f>AL2+AK3</f>
        <v>2307.6923076923076</v>
      </c>
      <c r="AM3" s="37">
        <v>1</v>
      </c>
      <c r="AN3" s="23">
        <f t="shared" ref="AN3:AN28" si="17">AN2+AM3</f>
        <v>2</v>
      </c>
      <c r="AO3" s="37">
        <v>1</v>
      </c>
      <c r="AP3" s="23">
        <f t="shared" ref="AP3:AP28" si="18">AP2+AO3</f>
        <v>2</v>
      </c>
      <c r="AQ3" s="37">
        <v>1</v>
      </c>
      <c r="AR3" s="23">
        <f t="shared" ref="AR3:AR28" si="19">AR2+AQ3</f>
        <v>2</v>
      </c>
      <c r="AS3" s="17">
        <f t="shared" ref="AS3:AS28" si="20">Z3+AK3+AM3+AO3+AQ3</f>
        <v>3102.1067014896307</v>
      </c>
      <c r="AT3" s="17">
        <f t="shared" ref="AT3:AT28" si="21">AT2+Z3+AK3+AM3+AO3+AQ3</f>
        <v>6182.0297784127088</v>
      </c>
      <c r="AU3" s="46">
        <f>AU2</f>
        <v>12700</v>
      </c>
      <c r="AV3" s="17">
        <f t="shared" ref="AV3:AV28" si="22">AT3-AU3</f>
        <v>-6517.9702215872912</v>
      </c>
      <c r="AW3" s="17">
        <f>AW2+(AS3*AY3)</f>
        <v>0</v>
      </c>
      <c r="AX3" s="44">
        <f>AX2</f>
        <v>0.12</v>
      </c>
      <c r="AY3" s="22">
        <f t="shared" si="3"/>
        <v>0</v>
      </c>
      <c r="AZ3" s="12">
        <f t="shared" ref="AZ3:AZ28" si="23">IF(AV3&lt;$BD$2,0,IF(AV3&lt;$BD$3,$BB$2,IF(AV3&lt;$BD$4,$BB$3,IF(AV3&lt;$BD$5,$BB$4,IF(AV3&lt;$BD$6,$BB$5,IF(AV3&lt;$BD$7,$BB$6,IF(AV3&lt;$BD$8,$BB$7,$BB$8)))))))</f>
        <v>0</v>
      </c>
      <c r="BB3" s="22">
        <v>0.12</v>
      </c>
      <c r="BC3" s="25">
        <v>19400</v>
      </c>
      <c r="BD3" s="25">
        <v>9325</v>
      </c>
    </row>
    <row r="4" spans="1:56" ht="18.75" thickBot="1" x14ac:dyDescent="0.4">
      <c r="A4" s="5">
        <f t="shared" ref="A4:A27" si="24">A3+FLOOR(365/$M$2,1)</f>
        <v>42764</v>
      </c>
      <c r="B4" s="37">
        <f t="shared" ref="B4:B28" si="25">(B3+AC3)*(1+0.1445/M4)</f>
        <v>122239.49230165804</v>
      </c>
      <c r="C4" s="18">
        <f t="shared" si="4"/>
        <v>0.12090562785217453</v>
      </c>
      <c r="D4" s="37">
        <f t="shared" ref="D4:D28" si="26">D3*(1+0.1445/M4)</f>
        <v>128585.67807462733</v>
      </c>
      <c r="E4" s="18">
        <f t="shared" si="5"/>
        <v>0.12718256471521303</v>
      </c>
      <c r="F4" s="37">
        <f t="shared" ref="F4:F28" si="27">(F3-(AC3+AF3))*(1+0.1445/M4)</f>
        <v>749687.32716589491</v>
      </c>
      <c r="G4" s="18">
        <f t="shared" si="6"/>
        <v>0.74150681810858321</v>
      </c>
      <c r="H4" s="38">
        <f t="shared" si="7"/>
        <v>10519.780054643838</v>
      </c>
      <c r="I4" s="18">
        <f t="shared" si="8"/>
        <v>1.0404989324029156E-2</v>
      </c>
      <c r="J4" s="17">
        <f>B4+D4+F4+H4</f>
        <v>1011032.2775968242</v>
      </c>
      <c r="K4" s="16">
        <f>IF(J4=0,0,J4-J3)</f>
        <v>5529.8076419456629</v>
      </c>
      <c r="L4" s="18">
        <f t="shared" ref="L4:L28" si="28">IF(J4=0,0,K4/J3)</f>
        <v>5.4995465522763064E-3</v>
      </c>
      <c r="M4" s="19">
        <f t="shared" ref="M4:M28" si="29">M3</f>
        <v>26</v>
      </c>
      <c r="N4" s="50">
        <v>6.0000000000000001E-3</v>
      </c>
      <c r="O4" s="29">
        <f t="shared" si="9"/>
        <v>5.0601800000000002E-2</v>
      </c>
      <c r="P4" s="17">
        <f t="shared" si="0"/>
        <v>51160.053104498984</v>
      </c>
      <c r="Q4" s="20">
        <f>IF(P4=0,0,(P4-P3)/P3)</f>
        <v>1.153254383158997E-2</v>
      </c>
      <c r="R4" s="42">
        <f t="shared" ref="R4:R28" si="30">R3</f>
        <v>0.2</v>
      </c>
      <c r="S4" s="17">
        <f t="shared" si="10"/>
        <v>60000</v>
      </c>
      <c r="T4" s="42">
        <f t="shared" si="11"/>
        <v>-0.2</v>
      </c>
      <c r="U4" s="17">
        <f t="shared" si="10"/>
        <v>40000</v>
      </c>
      <c r="V4" s="42">
        <f t="shared" si="11"/>
        <v>-0.1</v>
      </c>
      <c r="W4" s="42">
        <f t="shared" si="12"/>
        <v>0.1</v>
      </c>
      <c r="X4" s="29">
        <f t="shared" si="13"/>
        <v>5.0601800000000002E-2</v>
      </c>
      <c r="Y4" s="21">
        <f t="shared" si="1"/>
        <v>1.946223076923077E-3</v>
      </c>
      <c r="Z4" s="17">
        <f t="shared" si="2"/>
        <v>1967.6943501730377</v>
      </c>
      <c r="AA4" s="17">
        <f t="shared" ref="AA4:AL19" si="31">AA3+Z4</f>
        <v>5836.0318208934377</v>
      </c>
      <c r="AB4" s="44">
        <v>0</v>
      </c>
      <c r="AC4" s="17">
        <f t="shared" si="14"/>
        <v>0</v>
      </c>
      <c r="AD4" s="17">
        <f t="shared" si="31"/>
        <v>0</v>
      </c>
      <c r="AE4" s="44">
        <v>0.3</v>
      </c>
      <c r="AF4" s="17">
        <f t="shared" si="15"/>
        <v>590.30830505191125</v>
      </c>
      <c r="AG4" s="17">
        <f t="shared" si="31"/>
        <v>1750.8095462680312</v>
      </c>
      <c r="AH4" s="44">
        <v>0.7</v>
      </c>
      <c r="AI4" s="17">
        <f t="shared" si="16"/>
        <v>1377.3860451211262</v>
      </c>
      <c r="AJ4" s="17">
        <f t="shared" ref="AJ4:AJ28" si="32">AJ3+AI4</f>
        <v>4085.222274625406</v>
      </c>
      <c r="AK4" s="37">
        <f t="shared" ref="AK4:AK28" si="33">AK3</f>
        <v>1153.8461538461538</v>
      </c>
      <c r="AL4" s="17">
        <f t="shared" si="31"/>
        <v>3461.5384615384614</v>
      </c>
      <c r="AM4" s="37"/>
      <c r="AN4" s="23">
        <f t="shared" si="17"/>
        <v>2</v>
      </c>
      <c r="AO4" s="37"/>
      <c r="AP4" s="23">
        <f t="shared" si="18"/>
        <v>2</v>
      </c>
      <c r="AQ4" s="37"/>
      <c r="AR4" s="23">
        <f t="shared" si="19"/>
        <v>2</v>
      </c>
      <c r="AS4" s="17">
        <f t="shared" si="20"/>
        <v>3121.5405040191918</v>
      </c>
      <c r="AT4" s="17">
        <f t="shared" si="21"/>
        <v>9303.5702824318996</v>
      </c>
      <c r="AU4" s="46">
        <f t="shared" ref="AU4:AU28" si="34">AU3</f>
        <v>12700</v>
      </c>
      <c r="AV4" s="17">
        <f t="shared" si="22"/>
        <v>-3396.4297175681004</v>
      </c>
      <c r="AW4" s="17">
        <f t="shared" ref="AW4:AW28" si="35">AW3+(AS4*AY4)</f>
        <v>0</v>
      </c>
      <c r="AX4" s="44">
        <f t="shared" ref="AX4:AX28" si="36">AX3</f>
        <v>0.12</v>
      </c>
      <c r="AY4" s="22">
        <f t="shared" si="3"/>
        <v>0</v>
      </c>
      <c r="AZ4" s="12">
        <f t="shared" si="23"/>
        <v>0</v>
      </c>
      <c r="BB4" s="22">
        <v>0.22</v>
      </c>
      <c r="BC4" s="25">
        <v>78950</v>
      </c>
      <c r="BD4" s="25">
        <v>37950</v>
      </c>
    </row>
    <row r="5" spans="1:56" ht="18.75" thickBot="1" x14ac:dyDescent="0.4">
      <c r="A5" s="5">
        <f t="shared" si="24"/>
        <v>42778</v>
      </c>
      <c r="B5" s="37">
        <f t="shared" si="25"/>
        <v>122918.86178771919</v>
      </c>
      <c r="C5" s="18">
        <f t="shared" si="4"/>
        <v>0.12091297151777991</v>
      </c>
      <c r="D5" s="37">
        <f t="shared" si="26"/>
        <v>129300.31770854209</v>
      </c>
      <c r="E5" s="18">
        <f t="shared" si="5"/>
        <v>0.12719028963457946</v>
      </c>
      <c r="F5" s="37">
        <f t="shared" si="27"/>
        <v>753260.26960028114</v>
      </c>
      <c r="G5" s="18">
        <f t="shared" si="6"/>
        <v>0.74096795397395798</v>
      </c>
      <c r="H5" s="38">
        <f t="shared" si="7"/>
        <v>11110.088359695748</v>
      </c>
      <c r="I5" s="18">
        <f t="shared" si="8"/>
        <v>1.0928784873682621E-2</v>
      </c>
      <c r="J5" s="17">
        <f t="shared" ref="J5:J28" si="37">B5+D5+F5+H5</f>
        <v>1016589.5374562382</v>
      </c>
      <c r="K5" s="16">
        <f>IF(J5=0,0,J5-J4)</f>
        <v>5557.2598594139563</v>
      </c>
      <c r="L5" s="18">
        <f t="shared" si="28"/>
        <v>5.4966196258573463E-3</v>
      </c>
      <c r="M5" s="19">
        <f t="shared" si="29"/>
        <v>26</v>
      </c>
      <c r="N5" s="50">
        <v>3.0000000000000001E-3</v>
      </c>
      <c r="O5" s="29">
        <f t="shared" si="9"/>
        <v>5.0753605399999999E-2</v>
      </c>
      <c r="P5" s="17">
        <f t="shared" si="0"/>
        <v>51595.584237822433</v>
      </c>
      <c r="Q5" s="20">
        <f t="shared" ref="Q5:Q28" si="38">IF(P5=0,0,(P5-P4)/P4)</f>
        <v>8.5131094847348612E-3</v>
      </c>
      <c r="R5" s="42">
        <f t="shared" si="30"/>
        <v>0.2</v>
      </c>
      <c r="S5" s="17">
        <f t="shared" si="10"/>
        <v>60000</v>
      </c>
      <c r="T5" s="42">
        <f t="shared" si="11"/>
        <v>-0.2</v>
      </c>
      <c r="U5" s="17">
        <f t="shared" si="10"/>
        <v>40000</v>
      </c>
      <c r="V5" s="42">
        <f t="shared" si="11"/>
        <v>-0.1</v>
      </c>
      <c r="W5" s="42">
        <f t="shared" si="12"/>
        <v>0.1</v>
      </c>
      <c r="X5" s="29">
        <f t="shared" si="13"/>
        <v>5.0753605399999999E-2</v>
      </c>
      <c r="Y5" s="21">
        <f t="shared" si="1"/>
        <v>1.9520617461538461E-3</v>
      </c>
      <c r="Z5" s="17">
        <f t="shared" si="2"/>
        <v>1984.445547608555</v>
      </c>
      <c r="AA5" s="17">
        <f t="shared" si="31"/>
        <v>7820.4773685019927</v>
      </c>
      <c r="AB5" s="44">
        <v>0</v>
      </c>
      <c r="AC5" s="17">
        <f t="shared" si="14"/>
        <v>0</v>
      </c>
      <c r="AD5" s="17">
        <f t="shared" si="31"/>
        <v>0</v>
      </c>
      <c r="AE5" s="44">
        <v>0.3</v>
      </c>
      <c r="AF5" s="17">
        <f t="shared" si="15"/>
        <v>595.33366428256647</v>
      </c>
      <c r="AG5" s="17">
        <f t="shared" si="31"/>
        <v>2346.1432105505978</v>
      </c>
      <c r="AH5" s="44">
        <v>0.7</v>
      </c>
      <c r="AI5" s="17">
        <f t="shared" si="16"/>
        <v>1389.1118833259884</v>
      </c>
      <c r="AJ5" s="17">
        <f t="shared" si="32"/>
        <v>5474.3341579513944</v>
      </c>
      <c r="AK5" s="37">
        <f t="shared" si="33"/>
        <v>1153.8461538461538</v>
      </c>
      <c r="AL5" s="17">
        <f t="shared" si="31"/>
        <v>4615.3846153846152</v>
      </c>
      <c r="AM5" s="37"/>
      <c r="AN5" s="23">
        <f t="shared" si="17"/>
        <v>2</v>
      </c>
      <c r="AO5" s="37"/>
      <c r="AP5" s="23">
        <f t="shared" si="18"/>
        <v>2</v>
      </c>
      <c r="AQ5" s="37"/>
      <c r="AR5" s="23">
        <f t="shared" si="19"/>
        <v>2</v>
      </c>
      <c r="AS5" s="17">
        <f t="shared" si="20"/>
        <v>3138.2917014547088</v>
      </c>
      <c r="AT5" s="17">
        <f t="shared" si="21"/>
        <v>12441.861983886609</v>
      </c>
      <c r="AU5" s="46">
        <f t="shared" si="34"/>
        <v>12700</v>
      </c>
      <c r="AV5" s="17">
        <f t="shared" si="22"/>
        <v>-258.13801611339113</v>
      </c>
      <c r="AW5" s="17">
        <f t="shared" si="35"/>
        <v>0</v>
      </c>
      <c r="AX5" s="44">
        <f t="shared" si="36"/>
        <v>0.12</v>
      </c>
      <c r="AY5" s="22">
        <f t="shared" si="3"/>
        <v>0</v>
      </c>
      <c r="AZ5" s="12">
        <f t="shared" si="23"/>
        <v>0</v>
      </c>
      <c r="BB5" s="22">
        <v>0.24</v>
      </c>
      <c r="BC5" s="25">
        <v>168400</v>
      </c>
      <c r="BD5" s="25">
        <v>91900</v>
      </c>
    </row>
    <row r="6" spans="1:56" ht="18.75" thickBot="1" x14ac:dyDescent="0.4">
      <c r="A6" s="5">
        <f t="shared" si="24"/>
        <v>42792</v>
      </c>
      <c r="B6" s="37">
        <f t="shared" si="25"/>
        <v>123602.00700034709</v>
      </c>
      <c r="C6" s="18">
        <f t="shared" si="4"/>
        <v>0.12092066688733331</v>
      </c>
      <c r="D6" s="37">
        <f t="shared" si="26"/>
        <v>130018.92908965303</v>
      </c>
      <c r="E6" s="18">
        <f t="shared" si="5"/>
        <v>0.12719838451695689</v>
      </c>
      <c r="F6" s="37">
        <f t="shared" si="27"/>
        <v>756848.01606071985</v>
      </c>
      <c r="G6" s="18">
        <f t="shared" si="6"/>
        <v>0.74042945624791034</v>
      </c>
      <c r="H6" s="38">
        <f t="shared" si="7"/>
        <v>11705.422023978315</v>
      </c>
      <c r="I6" s="18">
        <f t="shared" si="8"/>
        <v>1.1451492347799515E-2</v>
      </c>
      <c r="J6" s="17">
        <f t="shared" si="37"/>
        <v>1022174.3741746983</v>
      </c>
      <c r="K6" s="16">
        <f t="shared" ref="K6:K28" si="39">IF(J6=0,0,J6-J5)</f>
        <v>5584.8367184600793</v>
      </c>
      <c r="L6" s="18">
        <f t="shared" si="28"/>
        <v>5.4936987965022149E-3</v>
      </c>
      <c r="M6" s="19">
        <f t="shared" si="29"/>
        <v>26</v>
      </c>
      <c r="N6" s="50">
        <v>3.0000000000000001E-3</v>
      </c>
      <c r="O6" s="29">
        <f t="shared" si="9"/>
        <v>5.0905866216199996E-2</v>
      </c>
      <c r="P6" s="17">
        <f t="shared" si="0"/>
        <v>52034.671941365144</v>
      </c>
      <c r="Q6" s="20">
        <f t="shared" si="38"/>
        <v>8.5101798928915971E-3</v>
      </c>
      <c r="R6" s="42">
        <f t="shared" si="30"/>
        <v>0.2</v>
      </c>
      <c r="S6" s="17">
        <f t="shared" si="10"/>
        <v>60000</v>
      </c>
      <c r="T6" s="42">
        <f t="shared" si="11"/>
        <v>-0.2</v>
      </c>
      <c r="U6" s="17">
        <f t="shared" si="10"/>
        <v>40000</v>
      </c>
      <c r="V6" s="42">
        <f t="shared" si="11"/>
        <v>-0.1</v>
      </c>
      <c r="W6" s="42">
        <f t="shared" si="12"/>
        <v>0.1</v>
      </c>
      <c r="X6" s="29">
        <f t="shared" si="13"/>
        <v>5.0905866216199996E-2</v>
      </c>
      <c r="Y6" s="21">
        <f t="shared" si="1"/>
        <v>1.9579179313923075E-3</v>
      </c>
      <c r="Z6" s="17">
        <f t="shared" si="2"/>
        <v>2001.3335362063517</v>
      </c>
      <c r="AA6" s="17">
        <f t="shared" si="31"/>
        <v>9821.8109047083453</v>
      </c>
      <c r="AB6" s="44">
        <v>0</v>
      </c>
      <c r="AC6" s="17">
        <f t="shared" si="14"/>
        <v>0</v>
      </c>
      <c r="AD6" s="17">
        <f t="shared" si="31"/>
        <v>0</v>
      </c>
      <c r="AE6" s="44">
        <v>0.3</v>
      </c>
      <c r="AF6" s="17">
        <f t="shared" si="15"/>
        <v>600.40006086190544</v>
      </c>
      <c r="AG6" s="17">
        <f t="shared" si="31"/>
        <v>2946.5432714125031</v>
      </c>
      <c r="AH6" s="44">
        <v>0.7</v>
      </c>
      <c r="AI6" s="17">
        <f t="shared" si="16"/>
        <v>1400.9334753444462</v>
      </c>
      <c r="AJ6" s="17">
        <f t="shared" si="32"/>
        <v>6875.2676332958408</v>
      </c>
      <c r="AK6" s="37">
        <f t="shared" si="33"/>
        <v>1153.8461538461538</v>
      </c>
      <c r="AL6" s="17">
        <f t="shared" si="31"/>
        <v>5769.2307692307695</v>
      </c>
      <c r="AM6" s="37"/>
      <c r="AN6" s="23">
        <f t="shared" si="17"/>
        <v>2</v>
      </c>
      <c r="AO6" s="37"/>
      <c r="AP6" s="23">
        <f t="shared" si="18"/>
        <v>2</v>
      </c>
      <c r="AQ6" s="37"/>
      <c r="AR6" s="23">
        <f t="shared" si="19"/>
        <v>2</v>
      </c>
      <c r="AS6" s="17">
        <f t="shared" si="20"/>
        <v>3155.1796900525055</v>
      </c>
      <c r="AT6" s="17">
        <f t="shared" si="21"/>
        <v>15597.041673939115</v>
      </c>
      <c r="AU6" s="46">
        <f t="shared" si="34"/>
        <v>12700</v>
      </c>
      <c r="AV6" s="17">
        <f t="shared" si="22"/>
        <v>2897.0416739391148</v>
      </c>
      <c r="AW6" s="17">
        <f>AW5+(AS6*AY6)</f>
        <v>315.51796900525056</v>
      </c>
      <c r="AX6" s="44">
        <f t="shared" si="36"/>
        <v>0.12</v>
      </c>
      <c r="AY6" s="22">
        <f t="shared" si="3"/>
        <v>0.1</v>
      </c>
      <c r="AZ6" s="12">
        <f t="shared" si="23"/>
        <v>0.1</v>
      </c>
      <c r="BB6" s="22">
        <v>0.32</v>
      </c>
      <c r="BC6" s="25">
        <v>321450</v>
      </c>
      <c r="BD6" s="25">
        <v>191650</v>
      </c>
    </row>
    <row r="7" spans="1:56" ht="18.75" thickBot="1" x14ac:dyDescent="0.4">
      <c r="A7" s="5">
        <f t="shared" si="24"/>
        <v>42806</v>
      </c>
      <c r="B7" s="37">
        <f t="shared" si="25"/>
        <v>124288.94892386826</v>
      </c>
      <c r="C7" s="18">
        <f t="shared" si="4"/>
        <v>0.12092871330517546</v>
      </c>
      <c r="D7" s="37">
        <f t="shared" si="26"/>
        <v>130741.53429170899</v>
      </c>
      <c r="E7" s="18">
        <f t="shared" si="5"/>
        <v>0.12720684867264684</v>
      </c>
      <c r="F7" s="37">
        <f t="shared" si="27"/>
        <v>760450.60755801096</v>
      </c>
      <c r="G7" s="18">
        <f t="shared" si="6"/>
        <v>0.73989131214279091</v>
      </c>
      <c r="H7" s="38">
        <f t="shared" si="7"/>
        <v>12305.822084840222</v>
      </c>
      <c r="I7" s="18">
        <f t="shared" si="8"/>
        <v>1.1973125879386707E-2</v>
      </c>
      <c r="J7" s="17">
        <f t="shared" si="37"/>
        <v>1027786.9128584285</v>
      </c>
      <c r="K7" s="16">
        <f t="shared" si="39"/>
        <v>5612.538683730294</v>
      </c>
      <c r="L7" s="18">
        <f t="shared" si="28"/>
        <v>5.4907839851315466E-3</v>
      </c>
      <c r="M7" s="19">
        <f t="shared" si="29"/>
        <v>26</v>
      </c>
      <c r="N7" s="50">
        <v>1E-3</v>
      </c>
      <c r="O7" s="29">
        <f t="shared" si="9"/>
        <v>5.0956772082416189E-2</v>
      </c>
      <c r="P7" s="17">
        <f t="shared" si="0"/>
        <v>52372.703467817089</v>
      </c>
      <c r="Q7" s="20">
        <f t="shared" si="38"/>
        <v>6.4962747691165055E-3</v>
      </c>
      <c r="R7" s="42">
        <f t="shared" si="30"/>
        <v>0.2</v>
      </c>
      <c r="S7" s="17">
        <f t="shared" si="10"/>
        <v>60000</v>
      </c>
      <c r="T7" s="42">
        <f t="shared" si="11"/>
        <v>-0.2</v>
      </c>
      <c r="U7" s="17">
        <f t="shared" si="10"/>
        <v>40000</v>
      </c>
      <c r="V7" s="42">
        <f t="shared" si="11"/>
        <v>-0.1</v>
      </c>
      <c r="W7" s="42">
        <f t="shared" si="12"/>
        <v>0.1</v>
      </c>
      <c r="X7" s="29">
        <f t="shared" si="13"/>
        <v>5.0956772082416189E-2</v>
      </c>
      <c r="Y7" s="21">
        <f t="shared" si="1"/>
        <v>1.9598758493236997E-3</v>
      </c>
      <c r="Z7" s="17">
        <f t="shared" si="2"/>
        <v>2014.3347487621961</v>
      </c>
      <c r="AA7" s="17">
        <f t="shared" si="31"/>
        <v>11836.145653470541</v>
      </c>
      <c r="AB7" s="44">
        <v>0</v>
      </c>
      <c r="AC7" s="17">
        <f t="shared" si="14"/>
        <v>0</v>
      </c>
      <c r="AD7" s="17">
        <f t="shared" si="31"/>
        <v>0</v>
      </c>
      <c r="AE7" s="44">
        <v>0.3</v>
      </c>
      <c r="AF7" s="17">
        <f t="shared" si="15"/>
        <v>604.30042462865879</v>
      </c>
      <c r="AG7" s="17">
        <f t="shared" si="31"/>
        <v>3550.8436960411618</v>
      </c>
      <c r="AH7" s="44">
        <v>0.7</v>
      </c>
      <c r="AI7" s="17">
        <f t="shared" si="16"/>
        <v>1410.0343241335372</v>
      </c>
      <c r="AJ7" s="17">
        <f t="shared" si="32"/>
        <v>8285.3019574293776</v>
      </c>
      <c r="AK7" s="37">
        <f t="shared" si="33"/>
        <v>1153.8461538461538</v>
      </c>
      <c r="AL7" s="17">
        <f t="shared" si="31"/>
        <v>6923.0769230769238</v>
      </c>
      <c r="AM7" s="37"/>
      <c r="AN7" s="23">
        <f t="shared" si="17"/>
        <v>2</v>
      </c>
      <c r="AO7" s="37"/>
      <c r="AP7" s="23">
        <f t="shared" si="18"/>
        <v>2</v>
      </c>
      <c r="AQ7" s="37"/>
      <c r="AR7" s="23">
        <f t="shared" si="19"/>
        <v>2</v>
      </c>
      <c r="AS7" s="17">
        <f t="shared" si="20"/>
        <v>3168.1809026083502</v>
      </c>
      <c r="AT7" s="17">
        <f t="shared" si="21"/>
        <v>18765.222576547465</v>
      </c>
      <c r="AU7" s="46">
        <f t="shared" si="34"/>
        <v>12700</v>
      </c>
      <c r="AV7" s="17">
        <f t="shared" si="22"/>
        <v>6065.222576547465</v>
      </c>
      <c r="AW7" s="17">
        <f t="shared" si="35"/>
        <v>632.33605926608561</v>
      </c>
      <c r="AX7" s="44">
        <f t="shared" si="36"/>
        <v>0.12</v>
      </c>
      <c r="AY7" s="22">
        <f t="shared" si="3"/>
        <v>0.1</v>
      </c>
      <c r="AZ7" s="12">
        <f t="shared" si="23"/>
        <v>0.1</v>
      </c>
      <c r="BB7" s="22">
        <v>0.35</v>
      </c>
      <c r="BC7" s="25">
        <v>408200</v>
      </c>
      <c r="BD7" s="25">
        <v>416700</v>
      </c>
    </row>
    <row r="8" spans="1:56" ht="18.75" thickBot="1" x14ac:dyDescent="0.4">
      <c r="A8" s="5">
        <f t="shared" si="24"/>
        <v>42820</v>
      </c>
      <c r="B8" s="37">
        <f t="shared" si="25"/>
        <v>124979.7086592336</v>
      </c>
      <c r="C8" s="18">
        <f t="shared" si="4"/>
        <v>0.12093710934269079</v>
      </c>
      <c r="D8" s="37">
        <f t="shared" si="26"/>
        <v>131468.15551113791</v>
      </c>
      <c r="E8" s="18">
        <f t="shared" si="5"/>
        <v>0.12721568059886579</v>
      </c>
      <c r="F8" s="37">
        <f t="shared" si="27"/>
        <v>764069.29910956591</v>
      </c>
      <c r="G8" s="18">
        <f t="shared" si="6"/>
        <v>0.73935467895635698</v>
      </c>
      <c r="H8" s="38">
        <f t="shared" si="7"/>
        <v>12910.12250946888</v>
      </c>
      <c r="I8" s="18">
        <f t="shared" si="8"/>
        <v>1.2492531102086391E-2</v>
      </c>
      <c r="J8" s="17">
        <f t="shared" si="37"/>
        <v>1033427.2857894063</v>
      </c>
      <c r="K8" s="16">
        <f t="shared" si="39"/>
        <v>5640.3729309777264</v>
      </c>
      <c r="L8" s="18">
        <f t="shared" si="28"/>
        <v>5.4878816420137217E-3</v>
      </c>
      <c r="M8" s="19">
        <f t="shared" si="29"/>
        <v>26</v>
      </c>
      <c r="N8" s="50">
        <v>1E-3</v>
      </c>
      <c r="O8" s="29">
        <f t="shared" si="9"/>
        <v>5.1007728854498599E-2</v>
      </c>
      <c r="P8" s="17">
        <f t="shared" si="0"/>
        <v>52712.778784386472</v>
      </c>
      <c r="Q8" s="20">
        <f t="shared" si="38"/>
        <v>6.4933695236557305E-3</v>
      </c>
      <c r="R8" s="42">
        <f t="shared" si="30"/>
        <v>0.2</v>
      </c>
      <c r="S8" s="17">
        <f t="shared" si="10"/>
        <v>60000</v>
      </c>
      <c r="T8" s="42">
        <f t="shared" si="11"/>
        <v>-0.2</v>
      </c>
      <c r="U8" s="17">
        <f t="shared" si="10"/>
        <v>40000</v>
      </c>
      <c r="V8" s="42">
        <f t="shared" si="11"/>
        <v>-0.1</v>
      </c>
      <c r="W8" s="42">
        <f t="shared" si="12"/>
        <v>0.1</v>
      </c>
      <c r="X8" s="29">
        <f t="shared" si="13"/>
        <v>5.1007728854498599E-2</v>
      </c>
      <c r="Y8" s="21">
        <f t="shared" si="1"/>
        <v>1.9618357251730231E-3</v>
      </c>
      <c r="Z8" s="17">
        <f t="shared" si="2"/>
        <v>2027.4145686302488</v>
      </c>
      <c r="AA8" s="17">
        <f t="shared" si="31"/>
        <v>13863.56022210079</v>
      </c>
      <c r="AB8" s="44">
        <v>0</v>
      </c>
      <c r="AC8" s="17">
        <f t="shared" si="14"/>
        <v>0</v>
      </c>
      <c r="AD8" s="17">
        <f t="shared" si="31"/>
        <v>0</v>
      </c>
      <c r="AE8" s="44">
        <v>0.3</v>
      </c>
      <c r="AF8" s="17">
        <f t="shared" si="15"/>
        <v>608.22437058907462</v>
      </c>
      <c r="AG8" s="17">
        <f t="shared" si="31"/>
        <v>4159.068066630236</v>
      </c>
      <c r="AH8" s="44">
        <v>0.7</v>
      </c>
      <c r="AI8" s="17">
        <f t="shared" si="16"/>
        <v>1419.1901980411742</v>
      </c>
      <c r="AJ8" s="17">
        <f t="shared" si="32"/>
        <v>9704.4921554705525</v>
      </c>
      <c r="AK8" s="37">
        <f t="shared" si="33"/>
        <v>1153.8461538461538</v>
      </c>
      <c r="AL8" s="17">
        <f t="shared" si="31"/>
        <v>8076.923076923078</v>
      </c>
      <c r="AM8" s="37"/>
      <c r="AN8" s="23">
        <f t="shared" si="17"/>
        <v>2</v>
      </c>
      <c r="AO8" s="37"/>
      <c r="AP8" s="23">
        <f t="shared" si="18"/>
        <v>2</v>
      </c>
      <c r="AQ8" s="37"/>
      <c r="AR8" s="23">
        <f t="shared" si="19"/>
        <v>2</v>
      </c>
      <c r="AS8" s="17">
        <f t="shared" si="20"/>
        <v>3181.2607224764024</v>
      </c>
      <c r="AT8" s="17">
        <f t="shared" si="21"/>
        <v>21946.483299023865</v>
      </c>
      <c r="AU8" s="46">
        <f t="shared" si="34"/>
        <v>12700</v>
      </c>
      <c r="AV8" s="17">
        <f t="shared" si="22"/>
        <v>9246.4832990238647</v>
      </c>
      <c r="AW8" s="17">
        <f t="shared" si="35"/>
        <v>950.46213151372581</v>
      </c>
      <c r="AX8" s="44">
        <f t="shared" si="36"/>
        <v>0.12</v>
      </c>
      <c r="AY8" s="22">
        <f t="shared" si="3"/>
        <v>0.1</v>
      </c>
      <c r="AZ8" s="12">
        <f t="shared" si="23"/>
        <v>0.1</v>
      </c>
      <c r="BB8" s="22">
        <v>0.37</v>
      </c>
      <c r="BC8" s="25">
        <v>612350</v>
      </c>
      <c r="BD8" s="25">
        <v>418400</v>
      </c>
    </row>
    <row r="9" spans="1:56" ht="18.75" thickBot="1" x14ac:dyDescent="0.4">
      <c r="A9" s="5">
        <f t="shared" si="24"/>
        <v>42834</v>
      </c>
      <c r="B9" s="37">
        <f t="shared" si="25"/>
        <v>125674.30742466665</v>
      </c>
      <c r="C9" s="18">
        <f t="shared" si="4"/>
        <v>0.1209458535843721</v>
      </c>
      <c r="D9" s="37">
        <f t="shared" si="26"/>
        <v>132198.81506772866</v>
      </c>
      <c r="E9" s="18">
        <f t="shared" si="5"/>
        <v>0.12722487880661901</v>
      </c>
      <c r="F9" s="37">
        <f t="shared" si="27"/>
        <v>767704.15648127615</v>
      </c>
      <c r="G9" s="18">
        <f t="shared" si="6"/>
        <v>0.73881954401504113</v>
      </c>
      <c r="H9" s="38">
        <f t="shared" si="7"/>
        <v>13518.346880057954</v>
      </c>
      <c r="I9" s="18">
        <f t="shared" si="8"/>
        <v>1.3009723593967754E-2</v>
      </c>
      <c r="J9" s="17">
        <f t="shared" si="37"/>
        <v>1039095.6258537294</v>
      </c>
      <c r="K9" s="16">
        <f t="shared" si="39"/>
        <v>5668.340064323158</v>
      </c>
      <c r="L9" s="18">
        <f t="shared" si="28"/>
        <v>5.4849916798870579E-3</v>
      </c>
      <c r="M9" s="19">
        <f t="shared" si="29"/>
        <v>26</v>
      </c>
      <c r="N9" s="50">
        <v>3.0000000000000001E-3</v>
      </c>
      <c r="O9" s="29">
        <f t="shared" si="9"/>
        <v>5.1160752041062088E-2</v>
      </c>
      <c r="P9" s="17">
        <f t="shared" si="0"/>
        <v>53160.913661254875</v>
      </c>
      <c r="Q9" s="20">
        <f t="shared" si="38"/>
        <v>8.5014466549265168E-3</v>
      </c>
      <c r="R9" s="42">
        <f t="shared" si="30"/>
        <v>0.2</v>
      </c>
      <c r="S9" s="17">
        <f t="shared" si="10"/>
        <v>60000</v>
      </c>
      <c r="T9" s="42">
        <f t="shared" si="11"/>
        <v>-0.2</v>
      </c>
      <c r="U9" s="17">
        <f t="shared" si="10"/>
        <v>40000</v>
      </c>
      <c r="V9" s="42">
        <f t="shared" si="11"/>
        <v>-0.1</v>
      </c>
      <c r="W9" s="42">
        <f t="shared" si="12"/>
        <v>0.1</v>
      </c>
      <c r="X9" s="29">
        <f t="shared" si="13"/>
        <v>5.1160752041062088E-2</v>
      </c>
      <c r="Y9" s="21">
        <f t="shared" si="1"/>
        <v>1.9677212323485418E-3</v>
      </c>
      <c r="Z9" s="17">
        <f t="shared" si="2"/>
        <v>2044.6505254328799</v>
      </c>
      <c r="AA9" s="17">
        <f t="shared" si="31"/>
        <v>15908.210747533671</v>
      </c>
      <c r="AB9" s="44">
        <v>0</v>
      </c>
      <c r="AC9" s="17">
        <f t="shared" si="14"/>
        <v>0</v>
      </c>
      <c r="AD9" s="17">
        <f t="shared" si="31"/>
        <v>0</v>
      </c>
      <c r="AE9" s="44">
        <v>0.3</v>
      </c>
      <c r="AF9" s="17">
        <f t="shared" si="15"/>
        <v>613.395157629864</v>
      </c>
      <c r="AG9" s="17">
        <f t="shared" si="31"/>
        <v>4772.4632242601001</v>
      </c>
      <c r="AH9" s="44">
        <v>0.7</v>
      </c>
      <c r="AI9" s="17">
        <f t="shared" si="16"/>
        <v>1431.2553678030158</v>
      </c>
      <c r="AJ9" s="17">
        <f t="shared" si="32"/>
        <v>11135.747523273569</v>
      </c>
      <c r="AK9" s="37">
        <f t="shared" si="33"/>
        <v>1153.8461538461538</v>
      </c>
      <c r="AL9" s="17">
        <f t="shared" si="31"/>
        <v>9230.7692307692323</v>
      </c>
      <c r="AM9" s="37"/>
      <c r="AN9" s="23">
        <f t="shared" si="17"/>
        <v>2</v>
      </c>
      <c r="AO9" s="37"/>
      <c r="AP9" s="23">
        <f t="shared" si="18"/>
        <v>2</v>
      </c>
      <c r="AQ9" s="37"/>
      <c r="AR9" s="23">
        <f t="shared" si="19"/>
        <v>2</v>
      </c>
      <c r="AS9" s="17">
        <f t="shared" si="20"/>
        <v>3198.4966792790337</v>
      </c>
      <c r="AT9" s="17">
        <f t="shared" si="21"/>
        <v>25144.979978302898</v>
      </c>
      <c r="AU9" s="46">
        <f t="shared" si="34"/>
        <v>12700</v>
      </c>
      <c r="AV9" s="17">
        <f t="shared" si="22"/>
        <v>12444.979978302898</v>
      </c>
      <c r="AW9" s="17">
        <f t="shared" si="35"/>
        <v>1270.3117994416293</v>
      </c>
      <c r="AX9" s="44">
        <f t="shared" si="36"/>
        <v>0.12</v>
      </c>
      <c r="AY9" s="22">
        <f t="shared" si="3"/>
        <v>0.1</v>
      </c>
      <c r="AZ9" s="12">
        <f t="shared" si="23"/>
        <v>0.12</v>
      </c>
    </row>
    <row r="10" spans="1:56" ht="18.75" thickBot="1" x14ac:dyDescent="0.4">
      <c r="A10" s="5">
        <f t="shared" si="24"/>
        <v>42848</v>
      </c>
      <c r="B10" s="37">
        <f t="shared" si="25"/>
        <v>126372.76655631528</v>
      </c>
      <c r="C10" s="18">
        <f t="shared" si="4"/>
        <v>0.12095494541466963</v>
      </c>
      <c r="D10" s="37">
        <f t="shared" si="26"/>
        <v>132933.53540531662</v>
      </c>
      <c r="E10" s="18">
        <f t="shared" si="5"/>
        <v>0.12723444264839989</v>
      </c>
      <c r="F10" s="37">
        <f t="shared" si="27"/>
        <v>771354.01574715658</v>
      </c>
      <c r="G10" s="18">
        <f t="shared" si="6"/>
        <v>0.73828472235358422</v>
      </c>
      <c r="H10" s="38">
        <f t="shared" si="7"/>
        <v>14131.742037687818</v>
      </c>
      <c r="I10" s="18">
        <f t="shared" si="8"/>
        <v>1.3525889583346329E-2</v>
      </c>
      <c r="J10" s="17">
        <f t="shared" si="37"/>
        <v>1044792.0597464762</v>
      </c>
      <c r="K10" s="16">
        <f t="shared" si="39"/>
        <v>5696.4338927468052</v>
      </c>
      <c r="L10" s="18">
        <f t="shared" si="28"/>
        <v>5.4821074702018583E-3</v>
      </c>
      <c r="M10" s="19">
        <f t="shared" si="29"/>
        <v>26</v>
      </c>
      <c r="N10" s="50">
        <v>3.0000000000000001E-3</v>
      </c>
      <c r="O10" s="29">
        <f t="shared" si="9"/>
        <v>5.131423429718527E-2</v>
      </c>
      <c r="P10" s="17">
        <f t="shared" si="0"/>
        <v>53612.704545669476</v>
      </c>
      <c r="Q10" s="20">
        <f t="shared" si="38"/>
        <v>8.4985537926124469E-3</v>
      </c>
      <c r="R10" s="42">
        <f t="shared" si="30"/>
        <v>0.2</v>
      </c>
      <c r="S10" s="17">
        <f t="shared" si="10"/>
        <v>60000</v>
      </c>
      <c r="T10" s="42">
        <f t="shared" si="11"/>
        <v>-0.2</v>
      </c>
      <c r="U10" s="17">
        <f t="shared" si="10"/>
        <v>40000</v>
      </c>
      <c r="V10" s="42">
        <f t="shared" si="11"/>
        <v>-0.1</v>
      </c>
      <c r="W10" s="42">
        <f t="shared" si="12"/>
        <v>0.1</v>
      </c>
      <c r="X10" s="29">
        <f t="shared" si="13"/>
        <v>5.131423429718527E-2</v>
      </c>
      <c r="Y10" s="21">
        <f t="shared" si="1"/>
        <v>1.9736243960455872E-3</v>
      </c>
      <c r="Z10" s="17">
        <f t="shared" si="2"/>
        <v>2062.0270979103643</v>
      </c>
      <c r="AA10" s="17">
        <f t="shared" si="31"/>
        <v>17970.237845444033</v>
      </c>
      <c r="AB10" s="44">
        <v>0</v>
      </c>
      <c r="AC10" s="17">
        <f t="shared" si="14"/>
        <v>0</v>
      </c>
      <c r="AD10" s="17">
        <f t="shared" si="31"/>
        <v>0</v>
      </c>
      <c r="AE10" s="44">
        <v>0.3</v>
      </c>
      <c r="AF10" s="17">
        <f t="shared" si="15"/>
        <v>618.60812937310925</v>
      </c>
      <c r="AG10" s="17">
        <f t="shared" si="31"/>
        <v>5391.0713536332096</v>
      </c>
      <c r="AH10" s="44">
        <v>0.7</v>
      </c>
      <c r="AI10" s="17">
        <f t="shared" si="16"/>
        <v>1443.4189685372548</v>
      </c>
      <c r="AJ10" s="17">
        <f t="shared" si="32"/>
        <v>12579.166491810824</v>
      </c>
      <c r="AK10" s="37">
        <f t="shared" si="33"/>
        <v>1153.8461538461538</v>
      </c>
      <c r="AL10" s="17">
        <f t="shared" si="31"/>
        <v>10384.615384615387</v>
      </c>
      <c r="AM10" s="37"/>
      <c r="AN10" s="23">
        <f t="shared" si="17"/>
        <v>2</v>
      </c>
      <c r="AO10" s="37"/>
      <c r="AP10" s="23">
        <f t="shared" si="18"/>
        <v>2</v>
      </c>
      <c r="AQ10" s="37"/>
      <c r="AR10" s="23">
        <f t="shared" si="19"/>
        <v>2</v>
      </c>
      <c r="AS10" s="17">
        <f t="shared" si="20"/>
        <v>3215.8732517565181</v>
      </c>
      <c r="AT10" s="17">
        <f t="shared" si="21"/>
        <v>28360.853230059412</v>
      </c>
      <c r="AU10" s="46">
        <f t="shared" si="34"/>
        <v>12700</v>
      </c>
      <c r="AV10" s="17">
        <f t="shared" si="22"/>
        <v>15660.853230059412</v>
      </c>
      <c r="AW10" s="17">
        <f t="shared" si="35"/>
        <v>1591.8991246172811</v>
      </c>
      <c r="AX10" s="44">
        <f t="shared" si="36"/>
        <v>0.12</v>
      </c>
      <c r="AY10" s="22">
        <f t="shared" si="3"/>
        <v>0.1</v>
      </c>
      <c r="AZ10" s="12">
        <f t="shared" si="23"/>
        <v>0.12</v>
      </c>
    </row>
    <row r="11" spans="1:56" ht="18.75" thickBot="1" x14ac:dyDescent="0.4">
      <c r="A11" s="5">
        <f t="shared" si="24"/>
        <v>42862</v>
      </c>
      <c r="B11" s="37">
        <f t="shared" si="25"/>
        <v>127075.10750890711</v>
      </c>
      <c r="C11" s="18">
        <f t="shared" si="4"/>
        <v>0.12096438423007159</v>
      </c>
      <c r="D11" s="37">
        <f t="shared" si="26"/>
        <v>133672.33909247309</v>
      </c>
      <c r="E11" s="18">
        <f t="shared" si="5"/>
        <v>0.12724437148936471</v>
      </c>
      <c r="F11" s="37">
        <f t="shared" si="27"/>
        <v>775018.91786396701</v>
      </c>
      <c r="G11" s="18">
        <f t="shared" si="6"/>
        <v>0.73775020146648296</v>
      </c>
      <c r="H11" s="38">
        <f t="shared" si="7"/>
        <v>14750.350167060928</v>
      </c>
      <c r="I11" s="18">
        <f t="shared" si="8"/>
        <v>1.4041042814080593E-2</v>
      </c>
      <c r="J11" s="17">
        <f t="shared" si="37"/>
        <v>1050516.7146324082</v>
      </c>
      <c r="K11" s="16">
        <f t="shared" si="39"/>
        <v>5724.6548859319882</v>
      </c>
      <c r="L11" s="18">
        <f t="shared" si="28"/>
        <v>5.4792289360632226E-3</v>
      </c>
      <c r="M11" s="19">
        <f t="shared" si="29"/>
        <v>26</v>
      </c>
      <c r="N11" s="50">
        <v>1E-3</v>
      </c>
      <c r="O11" s="29">
        <f t="shared" si="9"/>
        <v>5.1365548531482452E-2</v>
      </c>
      <c r="P11" s="17">
        <f t="shared" si="0"/>
        <v>53960.367288584464</v>
      </c>
      <c r="Q11" s="20">
        <f t="shared" si="38"/>
        <v>6.4847081649991234E-3</v>
      </c>
      <c r="R11" s="42">
        <f t="shared" si="30"/>
        <v>0.2</v>
      </c>
      <c r="S11" s="17">
        <f t="shared" si="10"/>
        <v>60000</v>
      </c>
      <c r="T11" s="42">
        <f t="shared" si="11"/>
        <v>-0.2</v>
      </c>
      <c r="U11" s="17">
        <f t="shared" si="10"/>
        <v>40000</v>
      </c>
      <c r="V11" s="42">
        <f t="shared" si="11"/>
        <v>-0.1</v>
      </c>
      <c r="W11" s="42">
        <f t="shared" si="12"/>
        <v>0.1</v>
      </c>
      <c r="X11" s="29">
        <f t="shared" si="13"/>
        <v>5.1365548531482452E-2</v>
      </c>
      <c r="Y11" s="21">
        <f t="shared" si="1"/>
        <v>1.9755980204416326E-3</v>
      </c>
      <c r="Z11" s="17">
        <f t="shared" si="2"/>
        <v>2075.3987418686334</v>
      </c>
      <c r="AA11" s="17">
        <f t="shared" si="31"/>
        <v>20045.636587312667</v>
      </c>
      <c r="AB11" s="44">
        <v>0</v>
      </c>
      <c r="AC11" s="17">
        <f t="shared" si="14"/>
        <v>0</v>
      </c>
      <c r="AD11" s="17">
        <f t="shared" si="31"/>
        <v>0</v>
      </c>
      <c r="AE11" s="44">
        <v>0.3</v>
      </c>
      <c r="AF11" s="17">
        <f t="shared" si="15"/>
        <v>622.61962256058996</v>
      </c>
      <c r="AG11" s="17">
        <f t="shared" si="31"/>
        <v>6013.6909761937995</v>
      </c>
      <c r="AH11" s="44">
        <v>0.7</v>
      </c>
      <c r="AI11" s="17">
        <f t="shared" si="16"/>
        <v>1452.7791193080432</v>
      </c>
      <c r="AJ11" s="17">
        <f t="shared" si="32"/>
        <v>14031.945611118867</v>
      </c>
      <c r="AK11" s="37">
        <f t="shared" si="33"/>
        <v>1153.8461538461538</v>
      </c>
      <c r="AL11" s="17">
        <f t="shared" si="31"/>
        <v>11538.461538461541</v>
      </c>
      <c r="AM11" s="37"/>
      <c r="AN11" s="23">
        <f t="shared" si="17"/>
        <v>2</v>
      </c>
      <c r="AO11" s="37"/>
      <c r="AP11" s="23">
        <f t="shared" si="18"/>
        <v>2</v>
      </c>
      <c r="AQ11" s="37"/>
      <c r="AR11" s="23">
        <f t="shared" si="19"/>
        <v>2</v>
      </c>
      <c r="AS11" s="17">
        <f t="shared" si="20"/>
        <v>3229.2448957147872</v>
      </c>
      <c r="AT11" s="17">
        <f t="shared" si="21"/>
        <v>31590.098125774199</v>
      </c>
      <c r="AU11" s="46">
        <f t="shared" si="34"/>
        <v>12700</v>
      </c>
      <c r="AV11" s="17">
        <f t="shared" si="22"/>
        <v>18890.098125774199</v>
      </c>
      <c r="AW11" s="17">
        <f t="shared" si="35"/>
        <v>1914.8236141887598</v>
      </c>
      <c r="AX11" s="44">
        <f t="shared" si="36"/>
        <v>0.12</v>
      </c>
      <c r="AY11" s="22">
        <f t="shared" si="3"/>
        <v>0.1</v>
      </c>
      <c r="AZ11" s="12">
        <f t="shared" si="23"/>
        <v>0.12</v>
      </c>
    </row>
    <row r="12" spans="1:56" ht="18.75" thickBot="1" x14ac:dyDescent="0.4">
      <c r="A12" s="5">
        <f t="shared" si="24"/>
        <v>42876</v>
      </c>
      <c r="B12" s="37">
        <f t="shared" si="25"/>
        <v>127781.35185640854</v>
      </c>
      <c r="C12" s="18">
        <f t="shared" si="4"/>
        <v>0.12097416864721028</v>
      </c>
      <c r="D12" s="37">
        <f t="shared" si="26"/>
        <v>134415.24882319858</v>
      </c>
      <c r="E12" s="18">
        <f t="shared" si="5"/>
        <v>0.12725466387432682</v>
      </c>
      <c r="F12" s="37">
        <f t="shared" si="27"/>
        <v>778700.15459124814</v>
      </c>
      <c r="G12" s="18">
        <f t="shared" si="6"/>
        <v>0.73721714834405927</v>
      </c>
      <c r="H12" s="38">
        <f t="shared" si="7"/>
        <v>15372.969789621518</v>
      </c>
      <c r="I12" s="18">
        <f t="shared" si="8"/>
        <v>1.4554019134403705E-2</v>
      </c>
      <c r="J12" s="17">
        <f t="shared" si="37"/>
        <v>1056269.7250604767</v>
      </c>
      <c r="K12" s="16">
        <f t="shared" si="39"/>
        <v>5753.0104280684609</v>
      </c>
      <c r="L12" s="18">
        <f t="shared" si="28"/>
        <v>5.4763625822760245E-3</v>
      </c>
      <c r="M12" s="19">
        <f t="shared" si="29"/>
        <v>26</v>
      </c>
      <c r="N12" s="50">
        <v>1E-3</v>
      </c>
      <c r="O12" s="29">
        <f t="shared" si="9"/>
        <v>5.1416914080013927E-2</v>
      </c>
      <c r="P12" s="17">
        <f t="shared" si="0"/>
        <v>54310.129698754463</v>
      </c>
      <c r="Q12" s="20">
        <f t="shared" si="38"/>
        <v>6.4818389448581858E-3</v>
      </c>
      <c r="R12" s="42">
        <f t="shared" si="30"/>
        <v>0.2</v>
      </c>
      <c r="S12" s="17">
        <f t="shared" si="10"/>
        <v>60000</v>
      </c>
      <c r="T12" s="42">
        <f t="shared" si="11"/>
        <v>-0.2</v>
      </c>
      <c r="U12" s="17">
        <f t="shared" si="10"/>
        <v>40000</v>
      </c>
      <c r="V12" s="42">
        <f t="shared" si="11"/>
        <v>-0.1</v>
      </c>
      <c r="W12" s="42">
        <f t="shared" si="12"/>
        <v>0.1</v>
      </c>
      <c r="X12" s="29">
        <f t="shared" si="13"/>
        <v>5.1416914080013927E-2</v>
      </c>
      <c r="Y12" s="21">
        <f t="shared" si="1"/>
        <v>1.9775736184620739E-3</v>
      </c>
      <c r="Z12" s="17">
        <f t="shared" si="2"/>
        <v>2088.8511422597867</v>
      </c>
      <c r="AA12" s="17">
        <f t="shared" si="31"/>
        <v>22134.487729572455</v>
      </c>
      <c r="AB12" s="44">
        <v>0</v>
      </c>
      <c r="AC12" s="17">
        <f t="shared" si="14"/>
        <v>0</v>
      </c>
      <c r="AD12" s="17">
        <f t="shared" si="31"/>
        <v>0</v>
      </c>
      <c r="AE12" s="44">
        <v>0.3</v>
      </c>
      <c r="AF12" s="17">
        <f t="shared" si="15"/>
        <v>626.65534267793601</v>
      </c>
      <c r="AG12" s="17">
        <f t="shared" si="31"/>
        <v>6640.346318871736</v>
      </c>
      <c r="AH12" s="44">
        <v>0.7</v>
      </c>
      <c r="AI12" s="17">
        <f t="shared" si="16"/>
        <v>1462.1957995818507</v>
      </c>
      <c r="AJ12" s="17">
        <f t="shared" si="32"/>
        <v>15494.141410700717</v>
      </c>
      <c r="AK12" s="37">
        <f t="shared" si="33"/>
        <v>1153.8461538461538</v>
      </c>
      <c r="AL12" s="17">
        <f t="shared" si="31"/>
        <v>12692.307692307695</v>
      </c>
      <c r="AM12" s="37"/>
      <c r="AN12" s="23">
        <f t="shared" si="17"/>
        <v>2</v>
      </c>
      <c r="AO12" s="37"/>
      <c r="AP12" s="23">
        <f t="shared" si="18"/>
        <v>2</v>
      </c>
      <c r="AQ12" s="37"/>
      <c r="AR12" s="23">
        <f t="shared" si="19"/>
        <v>2</v>
      </c>
      <c r="AS12" s="17">
        <f t="shared" si="20"/>
        <v>3242.6972961059405</v>
      </c>
      <c r="AT12" s="17">
        <f t="shared" si="21"/>
        <v>34832.795421880139</v>
      </c>
      <c r="AU12" s="46">
        <f t="shared" si="34"/>
        <v>12700</v>
      </c>
      <c r="AV12" s="17">
        <f t="shared" si="22"/>
        <v>22132.795421880139</v>
      </c>
      <c r="AW12" s="17">
        <f t="shared" si="35"/>
        <v>2303.9472897214728</v>
      </c>
      <c r="AX12" s="44">
        <f t="shared" si="36"/>
        <v>0.12</v>
      </c>
      <c r="AY12" s="22">
        <f t="shared" si="3"/>
        <v>0.12</v>
      </c>
      <c r="AZ12" s="12">
        <f t="shared" si="23"/>
        <v>0.12</v>
      </c>
    </row>
    <row r="13" spans="1:56" ht="18.75" thickBot="1" x14ac:dyDescent="0.4">
      <c r="A13" s="5">
        <f t="shared" si="24"/>
        <v>42890</v>
      </c>
      <c r="B13" s="37">
        <f t="shared" si="25"/>
        <v>128491.52129268742</v>
      </c>
      <c r="C13" s="18">
        <f t="shared" si="4"/>
        <v>0.12098429729543507</v>
      </c>
      <c r="D13" s="37">
        <f t="shared" si="26"/>
        <v>135162.28741761981</v>
      </c>
      <c r="E13" s="18">
        <f t="shared" si="5"/>
        <v>0.12726531836147695</v>
      </c>
      <c r="F13" s="37">
        <f t="shared" si="27"/>
        <v>782397.79235016322</v>
      </c>
      <c r="G13" s="18">
        <f t="shared" si="6"/>
        <v>0.73668555061594787</v>
      </c>
      <c r="H13" s="38">
        <f t="shared" si="7"/>
        <v>15999.625132299454</v>
      </c>
      <c r="I13" s="18">
        <f t="shared" si="8"/>
        <v>1.5064833727140209E-2</v>
      </c>
      <c r="J13" s="17">
        <f t="shared" si="37"/>
        <v>1062051.2261927698</v>
      </c>
      <c r="K13" s="16">
        <f t="shared" si="39"/>
        <v>5781.5011322931387</v>
      </c>
      <c r="L13" s="18">
        <f t="shared" si="28"/>
        <v>5.4735083237968584E-3</v>
      </c>
      <c r="M13" s="19">
        <f t="shared" si="29"/>
        <v>26</v>
      </c>
      <c r="N13" s="50">
        <v>1E-3</v>
      </c>
      <c r="O13" s="29">
        <f t="shared" si="9"/>
        <v>5.1468330994093939E-2</v>
      </c>
      <c r="P13" s="17">
        <f t="shared" si="0"/>
        <v>54662.004042372806</v>
      </c>
      <c r="Q13" s="20">
        <f t="shared" si="38"/>
        <v>6.4789818321205912E-3</v>
      </c>
      <c r="R13" s="42">
        <f t="shared" si="30"/>
        <v>0.2</v>
      </c>
      <c r="S13" s="17">
        <f t="shared" si="10"/>
        <v>60000</v>
      </c>
      <c r="T13" s="42">
        <f t="shared" si="11"/>
        <v>-0.2</v>
      </c>
      <c r="U13" s="17">
        <f t="shared" si="10"/>
        <v>40000</v>
      </c>
      <c r="V13" s="42">
        <f t="shared" si="11"/>
        <v>-0.1</v>
      </c>
      <c r="W13" s="42">
        <f t="shared" si="12"/>
        <v>0.1</v>
      </c>
      <c r="X13" s="29">
        <f t="shared" si="13"/>
        <v>5.1468330994093939E-2</v>
      </c>
      <c r="Y13" s="21">
        <f t="shared" si="1"/>
        <v>1.9795511920805359E-3</v>
      </c>
      <c r="Z13" s="17">
        <f t="shared" si="2"/>
        <v>2102.3847708604926</v>
      </c>
      <c r="AA13" s="17">
        <f t="shared" si="31"/>
        <v>24236.872500432946</v>
      </c>
      <c r="AB13" s="44">
        <v>0</v>
      </c>
      <c r="AC13" s="17">
        <f t="shared" si="14"/>
        <v>0</v>
      </c>
      <c r="AD13" s="17">
        <f t="shared" si="31"/>
        <v>0</v>
      </c>
      <c r="AE13" s="44">
        <v>0.3</v>
      </c>
      <c r="AF13" s="17">
        <f t="shared" si="15"/>
        <v>630.71543125814776</v>
      </c>
      <c r="AG13" s="17">
        <f t="shared" si="31"/>
        <v>7271.0617501298839</v>
      </c>
      <c r="AH13" s="44">
        <v>0.7</v>
      </c>
      <c r="AI13" s="17">
        <f t="shared" si="16"/>
        <v>1471.6693396023447</v>
      </c>
      <c r="AJ13" s="17">
        <f t="shared" si="32"/>
        <v>16965.810750303062</v>
      </c>
      <c r="AK13" s="37">
        <f t="shared" si="33"/>
        <v>1153.8461538461538</v>
      </c>
      <c r="AL13" s="17">
        <f t="shared" si="31"/>
        <v>13846.153846153849</v>
      </c>
      <c r="AM13" s="37"/>
      <c r="AN13" s="23">
        <f t="shared" si="17"/>
        <v>2</v>
      </c>
      <c r="AO13" s="37"/>
      <c r="AP13" s="23">
        <f t="shared" si="18"/>
        <v>2</v>
      </c>
      <c r="AQ13" s="37"/>
      <c r="AR13" s="23">
        <f t="shared" si="19"/>
        <v>2</v>
      </c>
      <c r="AS13" s="17">
        <f t="shared" si="20"/>
        <v>3256.2309247066464</v>
      </c>
      <c r="AT13" s="17">
        <f t="shared" si="21"/>
        <v>38089.02634658679</v>
      </c>
      <c r="AU13" s="46">
        <f t="shared" si="34"/>
        <v>12700</v>
      </c>
      <c r="AV13" s="17">
        <f t="shared" si="22"/>
        <v>25389.02634658679</v>
      </c>
      <c r="AW13" s="17">
        <f t="shared" si="35"/>
        <v>2694.6950006862703</v>
      </c>
      <c r="AX13" s="44">
        <f t="shared" si="36"/>
        <v>0.12</v>
      </c>
      <c r="AY13" s="22">
        <f t="shared" si="3"/>
        <v>0.12</v>
      </c>
      <c r="AZ13" s="12">
        <f t="shared" si="23"/>
        <v>0.12</v>
      </c>
    </row>
    <row r="14" spans="1:56" ht="18.75" thickBot="1" x14ac:dyDescent="0.4">
      <c r="A14" s="5">
        <f t="shared" si="24"/>
        <v>42904</v>
      </c>
      <c r="B14" s="37">
        <f t="shared" si="25"/>
        <v>129205.63763217948</v>
      </c>
      <c r="C14" s="18">
        <f t="shared" si="4"/>
        <v>0.12099476881669741</v>
      </c>
      <c r="D14" s="37">
        <f t="shared" si="26"/>
        <v>135913.47782269082</v>
      </c>
      <c r="E14" s="18">
        <f t="shared" si="5"/>
        <v>0.12727633352226203</v>
      </c>
      <c r="F14" s="37">
        <f t="shared" si="27"/>
        <v>786111.89778870437</v>
      </c>
      <c r="G14" s="18">
        <f t="shared" si="6"/>
        <v>0.73615539600348256</v>
      </c>
      <c r="H14" s="38">
        <f t="shared" si="7"/>
        <v>16630.340563557602</v>
      </c>
      <c r="I14" s="18">
        <f t="shared" si="8"/>
        <v>1.5573501657558091E-2</v>
      </c>
      <c r="J14" s="17">
        <f t="shared" si="37"/>
        <v>1067861.3538071322</v>
      </c>
      <c r="K14" s="16">
        <f t="shared" si="39"/>
        <v>5810.1276143623982</v>
      </c>
      <c r="L14" s="18">
        <f t="shared" si="28"/>
        <v>5.4706660762404869E-3</v>
      </c>
      <c r="M14" s="19">
        <f t="shared" si="29"/>
        <v>26</v>
      </c>
      <c r="N14" s="50">
        <v>1E-3</v>
      </c>
      <c r="O14" s="29">
        <f t="shared" si="9"/>
        <v>5.1519799325088024E-2</v>
      </c>
      <c r="P14" s="17">
        <f t="shared" si="0"/>
        <v>55016.002655160271</v>
      </c>
      <c r="Q14" s="20">
        <f t="shared" si="38"/>
        <v>6.4761367423165333E-3</v>
      </c>
      <c r="R14" s="42">
        <f t="shared" si="30"/>
        <v>0.2</v>
      </c>
      <c r="S14" s="17">
        <f t="shared" si="10"/>
        <v>60000</v>
      </c>
      <c r="T14" s="42">
        <f t="shared" si="11"/>
        <v>-0.2</v>
      </c>
      <c r="U14" s="17">
        <f t="shared" si="10"/>
        <v>40000</v>
      </c>
      <c r="V14" s="42">
        <f t="shared" si="11"/>
        <v>-0.1</v>
      </c>
      <c r="W14" s="42">
        <f t="shared" si="12"/>
        <v>0.1</v>
      </c>
      <c r="X14" s="29">
        <f t="shared" si="13"/>
        <v>5.1519799325088024E-2</v>
      </c>
      <c r="Y14" s="21">
        <f t="shared" si="1"/>
        <v>1.9815307432726162E-3</v>
      </c>
      <c r="Z14" s="17">
        <f t="shared" si="2"/>
        <v>2116.0001021215489</v>
      </c>
      <c r="AA14" s="17">
        <f t="shared" si="31"/>
        <v>26352.872602554497</v>
      </c>
      <c r="AB14" s="44">
        <v>0</v>
      </c>
      <c r="AC14" s="17">
        <f t="shared" si="14"/>
        <v>0</v>
      </c>
      <c r="AD14" s="17">
        <f t="shared" si="31"/>
        <v>0</v>
      </c>
      <c r="AE14" s="44">
        <v>0.3</v>
      </c>
      <c r="AF14" s="17">
        <f t="shared" si="15"/>
        <v>634.80003063646461</v>
      </c>
      <c r="AG14" s="17">
        <f t="shared" si="31"/>
        <v>7905.8617807663486</v>
      </c>
      <c r="AH14" s="44">
        <v>0.7</v>
      </c>
      <c r="AI14" s="17">
        <f t="shared" si="16"/>
        <v>1481.2000714850842</v>
      </c>
      <c r="AJ14" s="17">
        <f t="shared" si="32"/>
        <v>18447.010821788146</v>
      </c>
      <c r="AK14" s="37">
        <f t="shared" si="33"/>
        <v>1153.8461538461538</v>
      </c>
      <c r="AL14" s="17">
        <f t="shared" si="31"/>
        <v>15000.000000000004</v>
      </c>
      <c r="AM14" s="37"/>
      <c r="AN14" s="23">
        <f t="shared" si="17"/>
        <v>2</v>
      </c>
      <c r="AO14" s="37"/>
      <c r="AP14" s="23">
        <f t="shared" si="18"/>
        <v>2</v>
      </c>
      <c r="AQ14" s="37"/>
      <c r="AR14" s="23">
        <f t="shared" si="19"/>
        <v>2</v>
      </c>
      <c r="AS14" s="17">
        <f t="shared" si="20"/>
        <v>3269.8462559677027</v>
      </c>
      <c r="AT14" s="17">
        <f t="shared" si="21"/>
        <v>41358.872602554497</v>
      </c>
      <c r="AU14" s="46">
        <f t="shared" si="34"/>
        <v>12700</v>
      </c>
      <c r="AV14" s="17">
        <f t="shared" si="22"/>
        <v>28658.872602554497</v>
      </c>
      <c r="AW14" s="17">
        <f t="shared" si="35"/>
        <v>3087.0765514023947</v>
      </c>
      <c r="AX14" s="44">
        <f t="shared" si="36"/>
        <v>0.12</v>
      </c>
      <c r="AY14" s="22">
        <f t="shared" si="3"/>
        <v>0.12</v>
      </c>
      <c r="AZ14" s="12">
        <f t="shared" si="23"/>
        <v>0.12</v>
      </c>
    </row>
    <row r="15" spans="1:56" ht="18.75" thickBot="1" x14ac:dyDescent="0.4">
      <c r="A15" s="5">
        <f t="shared" si="24"/>
        <v>42918</v>
      </c>
      <c r="B15" s="37">
        <f t="shared" si="25"/>
        <v>129923.72281055832</v>
      </c>
      <c r="C15" s="18">
        <f t="shared" si="4"/>
        <v>0.1210055818654366</v>
      </c>
      <c r="D15" s="37">
        <f t="shared" si="26"/>
        <v>136668.84311289771</v>
      </c>
      <c r="E15" s="18">
        <f t="shared" si="5"/>
        <v>0.12728770794126529</v>
      </c>
      <c r="F15" s="37">
        <f t="shared" si="27"/>
        <v>789842.53778214636</v>
      </c>
      <c r="G15" s="18">
        <f t="shared" si="6"/>
        <v>0.73562667231880408</v>
      </c>
      <c r="H15" s="38">
        <f t="shared" si="7"/>
        <v>17265.140594194065</v>
      </c>
      <c r="I15" s="18">
        <f t="shared" si="8"/>
        <v>1.6080037874493882E-2</v>
      </c>
      <c r="J15" s="17">
        <f t="shared" si="37"/>
        <v>1073700.2442997966</v>
      </c>
      <c r="K15" s="16">
        <f t="shared" si="39"/>
        <v>5838.8904926644173</v>
      </c>
      <c r="L15" s="18">
        <f t="shared" si="28"/>
        <v>5.467835755875651E-3</v>
      </c>
      <c r="M15" s="19">
        <f t="shared" si="29"/>
        <v>26</v>
      </c>
      <c r="N15" s="50">
        <v>-1E-3</v>
      </c>
      <c r="O15" s="29">
        <f t="shared" si="9"/>
        <v>5.1468279525762939E-2</v>
      </c>
      <c r="P15" s="17">
        <f t="shared" si="0"/>
        <v>55261.504300501889</v>
      </c>
      <c r="Q15" s="20">
        <f t="shared" si="38"/>
        <v>4.4623679201198814E-3</v>
      </c>
      <c r="R15" s="42">
        <f t="shared" si="30"/>
        <v>0.2</v>
      </c>
      <c r="S15" s="17">
        <f t="shared" si="10"/>
        <v>60000</v>
      </c>
      <c r="T15" s="42">
        <f t="shared" si="11"/>
        <v>-0.2</v>
      </c>
      <c r="U15" s="17">
        <f t="shared" si="10"/>
        <v>40000</v>
      </c>
      <c r="V15" s="42">
        <f t="shared" si="11"/>
        <v>-0.1</v>
      </c>
      <c r="W15" s="42">
        <f t="shared" si="12"/>
        <v>0.1</v>
      </c>
      <c r="X15" s="29">
        <f t="shared" si="13"/>
        <v>5.1468279525762939E-2</v>
      </c>
      <c r="Y15" s="21">
        <f t="shared" si="1"/>
        <v>1.9795492125293437E-3</v>
      </c>
      <c r="Z15" s="17">
        <f t="shared" si="2"/>
        <v>2125.4424730962264</v>
      </c>
      <c r="AA15" s="17">
        <f t="shared" si="31"/>
        <v>28478.315075650724</v>
      </c>
      <c r="AB15" s="44">
        <v>0</v>
      </c>
      <c r="AC15" s="17">
        <f t="shared" si="14"/>
        <v>0</v>
      </c>
      <c r="AD15" s="17">
        <f t="shared" si="31"/>
        <v>0</v>
      </c>
      <c r="AE15" s="44">
        <v>0.3</v>
      </c>
      <c r="AF15" s="17">
        <f t="shared" si="15"/>
        <v>637.63274192886786</v>
      </c>
      <c r="AG15" s="17">
        <f t="shared" si="31"/>
        <v>8543.4945226952168</v>
      </c>
      <c r="AH15" s="44">
        <v>0.7</v>
      </c>
      <c r="AI15" s="17">
        <f t="shared" si="16"/>
        <v>1487.8097311673584</v>
      </c>
      <c r="AJ15" s="17">
        <f t="shared" si="32"/>
        <v>19934.820552955505</v>
      </c>
      <c r="AK15" s="37">
        <f t="shared" si="33"/>
        <v>1153.8461538461538</v>
      </c>
      <c r="AL15" s="17">
        <f t="shared" si="31"/>
        <v>16153.846153846158</v>
      </c>
      <c r="AM15" s="37"/>
      <c r="AN15" s="23">
        <f t="shared" si="17"/>
        <v>2</v>
      </c>
      <c r="AO15" s="37"/>
      <c r="AP15" s="23">
        <f t="shared" si="18"/>
        <v>2</v>
      </c>
      <c r="AQ15" s="37"/>
      <c r="AR15" s="23">
        <f t="shared" si="19"/>
        <v>2</v>
      </c>
      <c r="AS15" s="17">
        <f t="shared" si="20"/>
        <v>3279.2886269423802</v>
      </c>
      <c r="AT15" s="17">
        <f t="shared" si="21"/>
        <v>44638.16122949688</v>
      </c>
      <c r="AU15" s="46">
        <f t="shared" si="34"/>
        <v>12700</v>
      </c>
      <c r="AV15" s="17">
        <f t="shared" si="22"/>
        <v>31938.16122949688</v>
      </c>
      <c r="AW15" s="17">
        <f t="shared" si="35"/>
        <v>3480.5911866354804</v>
      </c>
      <c r="AX15" s="44">
        <f t="shared" si="36"/>
        <v>0.12</v>
      </c>
      <c r="AY15" s="22">
        <f t="shared" si="3"/>
        <v>0.12</v>
      </c>
      <c r="AZ15" s="12">
        <f t="shared" si="23"/>
        <v>0.12</v>
      </c>
    </row>
    <row r="16" spans="1:56" ht="18.75" thickBot="1" x14ac:dyDescent="0.4">
      <c r="A16" s="5">
        <f t="shared" si="24"/>
        <v>42932</v>
      </c>
      <c r="B16" s="37">
        <f t="shared" si="25"/>
        <v>130645.79888540931</v>
      </c>
      <c r="C16" s="18">
        <f t="shared" si="4"/>
        <v>0.12101673431317822</v>
      </c>
      <c r="D16" s="37">
        <f t="shared" si="26"/>
        <v>137428.40649096746</v>
      </c>
      <c r="E16" s="18">
        <f t="shared" si="5"/>
        <v>0.12729943937951038</v>
      </c>
      <c r="F16" s="37">
        <f t="shared" si="27"/>
        <v>793591.06307015254</v>
      </c>
      <c r="G16" s="18">
        <f t="shared" si="6"/>
        <v>0.73510055166112909</v>
      </c>
      <c r="H16" s="38">
        <f t="shared" si="7"/>
        <v>17902.773336122933</v>
      </c>
      <c r="I16" s="18">
        <f t="shared" si="8"/>
        <v>1.6583274646182301E-2</v>
      </c>
      <c r="J16" s="17">
        <f t="shared" si="37"/>
        <v>1079568.0417826523</v>
      </c>
      <c r="K16" s="16">
        <f t="shared" si="39"/>
        <v>5867.797482855618</v>
      </c>
      <c r="L16" s="18">
        <f t="shared" si="28"/>
        <v>5.4650238872603089E-3</v>
      </c>
      <c r="M16" s="19">
        <f t="shared" si="29"/>
        <v>26</v>
      </c>
      <c r="N16" s="50">
        <v>-1E-3</v>
      </c>
      <c r="O16" s="29">
        <f t="shared" si="9"/>
        <v>5.1416811246237176E-2</v>
      </c>
      <c r="P16" s="17">
        <f t="shared" si="0"/>
        <v>55507.946231808521</v>
      </c>
      <c r="Q16" s="20">
        <f t="shared" si="38"/>
        <v>4.4595588633730638E-3</v>
      </c>
      <c r="R16" s="42">
        <f t="shared" si="30"/>
        <v>0.2</v>
      </c>
      <c r="S16" s="17">
        <f t="shared" si="10"/>
        <v>60000</v>
      </c>
      <c r="T16" s="42">
        <f t="shared" si="11"/>
        <v>-0.2</v>
      </c>
      <c r="U16" s="17">
        <f t="shared" si="10"/>
        <v>40000</v>
      </c>
      <c r="V16" s="42">
        <f t="shared" si="11"/>
        <v>-0.1</v>
      </c>
      <c r="W16" s="42">
        <f t="shared" si="12"/>
        <v>0.1</v>
      </c>
      <c r="X16" s="29">
        <f t="shared" si="13"/>
        <v>5.1416811246237176E-2</v>
      </c>
      <c r="Y16" s="21">
        <f t="shared" si="1"/>
        <v>1.9775696633168144E-3</v>
      </c>
      <c r="Z16" s="17">
        <f t="shared" si="2"/>
        <v>2134.9210089157123</v>
      </c>
      <c r="AA16" s="17">
        <f t="shared" si="31"/>
        <v>30613.236084566437</v>
      </c>
      <c r="AB16" s="44">
        <v>0</v>
      </c>
      <c r="AC16" s="17">
        <f t="shared" si="14"/>
        <v>0</v>
      </c>
      <c r="AD16" s="17">
        <f t="shared" si="31"/>
        <v>0</v>
      </c>
      <c r="AE16" s="44">
        <v>0.3</v>
      </c>
      <c r="AF16" s="17">
        <f t="shared" si="15"/>
        <v>640.47630267471368</v>
      </c>
      <c r="AG16" s="17">
        <f t="shared" si="31"/>
        <v>9183.97082536993</v>
      </c>
      <c r="AH16" s="44">
        <v>0.7</v>
      </c>
      <c r="AI16" s="17">
        <f t="shared" si="16"/>
        <v>1494.4447062409986</v>
      </c>
      <c r="AJ16" s="17">
        <f t="shared" si="32"/>
        <v>21429.265259196505</v>
      </c>
      <c r="AK16" s="37">
        <f t="shared" si="33"/>
        <v>1153.8461538461538</v>
      </c>
      <c r="AL16" s="17">
        <f t="shared" si="31"/>
        <v>17307.692307692312</v>
      </c>
      <c r="AM16" s="37"/>
      <c r="AN16" s="23">
        <f t="shared" si="17"/>
        <v>2</v>
      </c>
      <c r="AO16" s="37"/>
      <c r="AP16" s="23">
        <f t="shared" si="18"/>
        <v>2</v>
      </c>
      <c r="AQ16" s="37"/>
      <c r="AR16" s="23">
        <f t="shared" si="19"/>
        <v>2</v>
      </c>
      <c r="AS16" s="17">
        <f t="shared" si="20"/>
        <v>3288.7671627618661</v>
      </c>
      <c r="AT16" s="17">
        <f t="shared" si="21"/>
        <v>47926.928392258749</v>
      </c>
      <c r="AU16" s="46">
        <f t="shared" si="34"/>
        <v>12700</v>
      </c>
      <c r="AV16" s="17">
        <f t="shared" si="22"/>
        <v>35226.928392258749</v>
      </c>
      <c r="AW16" s="17">
        <f t="shared" si="35"/>
        <v>3875.2432461669041</v>
      </c>
      <c r="AX16" s="44">
        <f t="shared" si="36"/>
        <v>0.12</v>
      </c>
      <c r="AY16" s="22">
        <f t="shared" si="3"/>
        <v>0.12</v>
      </c>
      <c r="AZ16" s="12">
        <f t="shared" si="23"/>
        <v>0.12</v>
      </c>
    </row>
    <row r="17" spans="1:52" ht="18.75" thickBot="1" x14ac:dyDescent="0.4">
      <c r="A17" s="5">
        <f t="shared" si="24"/>
        <v>42946</v>
      </c>
      <c r="B17" s="37">
        <f t="shared" si="25"/>
        <v>131371.88803690707</v>
      </c>
      <c r="C17" s="18">
        <f t="shared" si="4"/>
        <v>0.12102822404765304</v>
      </c>
      <c r="D17" s="37">
        <f t="shared" si="26"/>
        <v>138192.19128858074</v>
      </c>
      <c r="E17" s="18">
        <f t="shared" si="5"/>
        <v>0.12731152561506751</v>
      </c>
      <c r="F17" s="37">
        <f t="shared" si="27"/>
        <v>797357.56214393547</v>
      </c>
      <c r="G17" s="18">
        <f t="shared" si="6"/>
        <v>0.73457701734586911</v>
      </c>
      <c r="H17" s="38">
        <f t="shared" si="7"/>
        <v>18543.249638797646</v>
      </c>
      <c r="I17" s="18">
        <f t="shared" si="8"/>
        <v>1.7083232991410392E-2</v>
      </c>
      <c r="J17" s="17">
        <f t="shared" si="37"/>
        <v>1085464.8911082209</v>
      </c>
      <c r="K17" s="16">
        <f t="shared" si="39"/>
        <v>5896.8493255686481</v>
      </c>
      <c r="L17" s="18">
        <f t="shared" si="28"/>
        <v>5.4622303526430729E-3</v>
      </c>
      <c r="M17" s="19">
        <f t="shared" si="29"/>
        <v>26</v>
      </c>
      <c r="N17" s="50">
        <v>-1E-3</v>
      </c>
      <c r="O17" s="29">
        <f t="shared" si="9"/>
        <v>5.1365394434990941E-2</v>
      </c>
      <c r="P17" s="17">
        <f t="shared" si="0"/>
        <v>55755.33227710826</v>
      </c>
      <c r="Q17" s="20">
        <f t="shared" si="38"/>
        <v>4.4567681222905057E-3</v>
      </c>
      <c r="R17" s="42">
        <f t="shared" si="30"/>
        <v>0.2</v>
      </c>
      <c r="S17" s="17">
        <f t="shared" si="10"/>
        <v>60000</v>
      </c>
      <c r="T17" s="42">
        <f t="shared" si="11"/>
        <v>-0.2</v>
      </c>
      <c r="U17" s="17">
        <f t="shared" si="10"/>
        <v>40000</v>
      </c>
      <c r="V17" s="42">
        <f t="shared" si="11"/>
        <v>-0.1</v>
      </c>
      <c r="W17" s="42">
        <f t="shared" si="12"/>
        <v>0.1</v>
      </c>
      <c r="X17" s="29">
        <f t="shared" si="13"/>
        <v>5.1365394434990941E-2</v>
      </c>
      <c r="Y17" s="21">
        <f t="shared" si="1"/>
        <v>1.9755920936534977E-3</v>
      </c>
      <c r="Z17" s="17">
        <f t="shared" si="2"/>
        <v>2144.435856811856</v>
      </c>
      <c r="AA17" s="17">
        <f t="shared" si="31"/>
        <v>32757.671941378292</v>
      </c>
      <c r="AB17" s="44">
        <v>0</v>
      </c>
      <c r="AC17" s="17">
        <f t="shared" si="14"/>
        <v>0</v>
      </c>
      <c r="AD17" s="17">
        <f t="shared" si="31"/>
        <v>0</v>
      </c>
      <c r="AE17" s="44">
        <v>0.3</v>
      </c>
      <c r="AF17" s="17">
        <f t="shared" si="15"/>
        <v>643.33075704355679</v>
      </c>
      <c r="AG17" s="17">
        <f t="shared" si="31"/>
        <v>9827.3015824134873</v>
      </c>
      <c r="AH17" s="44">
        <v>0.7</v>
      </c>
      <c r="AI17" s="17">
        <f t="shared" si="16"/>
        <v>1501.1050997682992</v>
      </c>
      <c r="AJ17" s="17">
        <f t="shared" si="32"/>
        <v>22930.370358964803</v>
      </c>
      <c r="AK17" s="37">
        <f t="shared" si="33"/>
        <v>1153.8461538461538</v>
      </c>
      <c r="AL17" s="17">
        <f t="shared" si="31"/>
        <v>18461.538461538465</v>
      </c>
      <c r="AM17" s="37"/>
      <c r="AN17" s="23">
        <f t="shared" si="17"/>
        <v>2</v>
      </c>
      <c r="AO17" s="37"/>
      <c r="AP17" s="23">
        <f t="shared" si="18"/>
        <v>2</v>
      </c>
      <c r="AQ17" s="37"/>
      <c r="AR17" s="23">
        <f t="shared" si="19"/>
        <v>2</v>
      </c>
      <c r="AS17" s="17">
        <f t="shared" si="20"/>
        <v>3298.2820106580098</v>
      </c>
      <c r="AT17" s="17">
        <f t="shared" si="21"/>
        <v>51225.21040291676</v>
      </c>
      <c r="AU17" s="46">
        <f t="shared" si="34"/>
        <v>12700</v>
      </c>
      <c r="AV17" s="17">
        <f t="shared" si="22"/>
        <v>38525.21040291676</v>
      </c>
      <c r="AW17" s="17">
        <f t="shared" si="35"/>
        <v>4271.0370874458649</v>
      </c>
      <c r="AX17" s="44">
        <f t="shared" si="36"/>
        <v>0.12</v>
      </c>
      <c r="AY17" s="22">
        <f t="shared" si="3"/>
        <v>0.12</v>
      </c>
      <c r="AZ17" s="12">
        <f t="shared" si="23"/>
        <v>0.22</v>
      </c>
    </row>
    <row r="18" spans="1:52" ht="18.75" thickBot="1" x14ac:dyDescent="0.4">
      <c r="A18" s="5">
        <f t="shared" si="24"/>
        <v>42960</v>
      </c>
      <c r="B18" s="37">
        <f t="shared" si="25"/>
        <v>132102.01256849681</v>
      </c>
      <c r="C18" s="18">
        <f t="shared" si="4"/>
        <v>0.12104004897263056</v>
      </c>
      <c r="D18" s="37">
        <f t="shared" si="26"/>
        <v>138960.22096708842</v>
      </c>
      <c r="E18" s="18">
        <f t="shared" si="5"/>
        <v>0.12732396444287827</v>
      </c>
      <c r="F18" s="37">
        <f t="shared" si="27"/>
        <v>801142.12394209986</v>
      </c>
      <c r="G18" s="18">
        <f t="shared" si="6"/>
        <v>0.73405605282287834</v>
      </c>
      <c r="H18" s="38">
        <f t="shared" si="7"/>
        <v>19186.580395841203</v>
      </c>
      <c r="I18" s="18">
        <f t="shared" si="8"/>
        <v>1.7579933761612928E-2</v>
      </c>
      <c r="J18" s="17">
        <f t="shared" si="37"/>
        <v>1091390.9378735262</v>
      </c>
      <c r="K18" s="16">
        <f t="shared" si="39"/>
        <v>5926.0467653053347</v>
      </c>
      <c r="L18" s="18">
        <f t="shared" si="28"/>
        <v>5.4594550352108145E-3</v>
      </c>
      <c r="M18" s="19">
        <f t="shared" si="29"/>
        <v>26</v>
      </c>
      <c r="N18" s="50">
        <v>3.0000000000000001E-3</v>
      </c>
      <c r="O18" s="29">
        <f t="shared" si="9"/>
        <v>5.1519490618295909E-2</v>
      </c>
      <c r="P18" s="17">
        <f t="shared" si="0"/>
        <v>56227.905184668307</v>
      </c>
      <c r="Q18" s="20">
        <f t="shared" si="38"/>
        <v>8.4758334003162804E-3</v>
      </c>
      <c r="R18" s="42">
        <f t="shared" si="30"/>
        <v>0.2</v>
      </c>
      <c r="S18" s="17">
        <f t="shared" si="10"/>
        <v>60000</v>
      </c>
      <c r="T18" s="42">
        <f t="shared" si="11"/>
        <v>-0.2</v>
      </c>
      <c r="U18" s="17">
        <f t="shared" si="10"/>
        <v>40000</v>
      </c>
      <c r="V18" s="42">
        <f t="shared" si="11"/>
        <v>-0.1</v>
      </c>
      <c r="W18" s="42">
        <f t="shared" si="12"/>
        <v>0.1</v>
      </c>
      <c r="X18" s="29">
        <f t="shared" si="13"/>
        <v>5.1519490618295909E-2</v>
      </c>
      <c r="Y18" s="21">
        <f t="shared" si="1"/>
        <v>1.9815188699344581E-3</v>
      </c>
      <c r="Z18" s="17">
        <f t="shared" si="2"/>
        <v>2162.6117378718582</v>
      </c>
      <c r="AA18" s="17">
        <f t="shared" si="31"/>
        <v>34920.283679250148</v>
      </c>
      <c r="AB18" s="44">
        <v>0</v>
      </c>
      <c r="AC18" s="17">
        <f t="shared" si="14"/>
        <v>0</v>
      </c>
      <c r="AD18" s="17">
        <f t="shared" si="31"/>
        <v>0</v>
      </c>
      <c r="AE18" s="44">
        <v>0.3</v>
      </c>
      <c r="AF18" s="17">
        <f t="shared" si="15"/>
        <v>648.7835213615574</v>
      </c>
      <c r="AG18" s="17">
        <f t="shared" si="31"/>
        <v>10476.085103775045</v>
      </c>
      <c r="AH18" s="44">
        <v>0.7</v>
      </c>
      <c r="AI18" s="17">
        <f t="shared" si="16"/>
        <v>1513.8282165103005</v>
      </c>
      <c r="AJ18" s="17">
        <f t="shared" si="32"/>
        <v>24444.198575475104</v>
      </c>
      <c r="AK18" s="37">
        <f t="shared" si="33"/>
        <v>1153.8461538461538</v>
      </c>
      <c r="AL18" s="17">
        <f t="shared" si="31"/>
        <v>19615.384615384617</v>
      </c>
      <c r="AM18" s="37"/>
      <c r="AN18" s="23">
        <f t="shared" si="17"/>
        <v>2</v>
      </c>
      <c r="AO18" s="37"/>
      <c r="AP18" s="23">
        <f t="shared" si="18"/>
        <v>2</v>
      </c>
      <c r="AQ18" s="37"/>
      <c r="AR18" s="23">
        <f t="shared" si="19"/>
        <v>2</v>
      </c>
      <c r="AS18" s="17">
        <f t="shared" si="20"/>
        <v>3316.457891718012</v>
      </c>
      <c r="AT18" s="17">
        <f t="shared" si="21"/>
        <v>54541.668294634772</v>
      </c>
      <c r="AU18" s="46">
        <f t="shared" si="34"/>
        <v>12700</v>
      </c>
      <c r="AV18" s="17">
        <f t="shared" si="22"/>
        <v>41841.668294634772</v>
      </c>
      <c r="AW18" s="17">
        <f t="shared" si="35"/>
        <v>4669.0120344520265</v>
      </c>
      <c r="AX18" s="44">
        <f t="shared" si="36"/>
        <v>0.12</v>
      </c>
      <c r="AY18" s="22">
        <f t="shared" si="3"/>
        <v>0.12</v>
      </c>
      <c r="AZ18" s="12">
        <f t="shared" si="23"/>
        <v>0.22</v>
      </c>
    </row>
    <row r="19" spans="1:52" ht="18.75" thickBot="1" x14ac:dyDescent="0.4">
      <c r="A19" s="5">
        <f t="shared" si="24"/>
        <v>42974</v>
      </c>
      <c r="B19" s="37">
        <f t="shared" si="25"/>
        <v>132836.19490757943</v>
      </c>
      <c r="C19" s="18">
        <f t="shared" si="4"/>
        <v>0.1210522085940435</v>
      </c>
      <c r="D19" s="37">
        <f t="shared" si="26"/>
        <v>139732.51911823242</v>
      </c>
      <c r="E19" s="18">
        <f t="shared" si="5"/>
        <v>0.12733675534322539</v>
      </c>
      <c r="F19" s="37">
        <f t="shared" si="27"/>
        <v>804942.23610115354</v>
      </c>
      <c r="G19" s="18">
        <f t="shared" si="6"/>
        <v>0.73353528033881432</v>
      </c>
      <c r="H19" s="38">
        <f t="shared" si="7"/>
        <v>19835.363917202762</v>
      </c>
      <c r="I19" s="18">
        <f t="shared" si="8"/>
        <v>1.8075755723916696E-2</v>
      </c>
      <c r="J19" s="17">
        <f t="shared" si="37"/>
        <v>1097346.3140441682</v>
      </c>
      <c r="K19" s="16">
        <f t="shared" si="39"/>
        <v>5955.3761706419755</v>
      </c>
      <c r="L19" s="18">
        <f t="shared" si="28"/>
        <v>5.4566846434014491E-3</v>
      </c>
      <c r="M19" s="19">
        <f t="shared" si="29"/>
        <v>26</v>
      </c>
      <c r="N19" s="50">
        <v>3.0000000000000001E-3</v>
      </c>
      <c r="O19" s="29">
        <f t="shared" si="9"/>
        <v>5.1674049090150789E-2</v>
      </c>
      <c r="P19" s="17">
        <f t="shared" si="0"/>
        <v>56704.327300814373</v>
      </c>
      <c r="Q19" s="20">
        <f t="shared" si="38"/>
        <v>8.4730546973315422E-3</v>
      </c>
      <c r="R19" s="42">
        <f t="shared" si="30"/>
        <v>0.2</v>
      </c>
      <c r="S19" s="17">
        <f t="shared" si="10"/>
        <v>60000</v>
      </c>
      <c r="T19" s="42">
        <f t="shared" ref="T19:V28" si="40">T18</f>
        <v>-0.2</v>
      </c>
      <c r="U19" s="17">
        <f t="shared" si="10"/>
        <v>40000</v>
      </c>
      <c r="V19" s="42">
        <f t="shared" si="40"/>
        <v>-0.1</v>
      </c>
      <c r="W19" s="42">
        <f t="shared" si="12"/>
        <v>0.1</v>
      </c>
      <c r="X19" s="29">
        <f t="shared" si="13"/>
        <v>5.1674049090150789E-2</v>
      </c>
      <c r="Y19" s="21">
        <f t="shared" si="1"/>
        <v>1.9874634265442609E-3</v>
      </c>
      <c r="Z19" s="17">
        <f t="shared" si="2"/>
        <v>2180.9356654159374</v>
      </c>
      <c r="AA19" s="17">
        <f t="shared" si="31"/>
        <v>37101.219344666082</v>
      </c>
      <c r="AB19" s="44">
        <v>0</v>
      </c>
      <c r="AC19" s="17">
        <f t="shared" si="14"/>
        <v>0</v>
      </c>
      <c r="AD19" s="17">
        <f t="shared" si="31"/>
        <v>0</v>
      </c>
      <c r="AE19" s="44">
        <v>0.3</v>
      </c>
      <c r="AF19" s="17">
        <f t="shared" si="15"/>
        <v>654.28069962478116</v>
      </c>
      <c r="AG19" s="17">
        <f t="shared" si="31"/>
        <v>11130.365803399827</v>
      </c>
      <c r="AH19" s="44">
        <v>0.7</v>
      </c>
      <c r="AI19" s="17">
        <f t="shared" si="16"/>
        <v>1526.654965791156</v>
      </c>
      <c r="AJ19" s="17">
        <f t="shared" si="32"/>
        <v>25970.85354126626</v>
      </c>
      <c r="AK19" s="37">
        <f t="shared" si="33"/>
        <v>1153.8461538461538</v>
      </c>
      <c r="AL19" s="17">
        <f t="shared" si="31"/>
        <v>20769.23076923077</v>
      </c>
      <c r="AM19" s="37"/>
      <c r="AN19" s="23">
        <f t="shared" si="17"/>
        <v>2</v>
      </c>
      <c r="AO19" s="37"/>
      <c r="AP19" s="23">
        <f t="shared" si="18"/>
        <v>2</v>
      </c>
      <c r="AQ19" s="37"/>
      <c r="AR19" s="23">
        <f t="shared" si="19"/>
        <v>2</v>
      </c>
      <c r="AS19" s="17">
        <f t="shared" si="20"/>
        <v>3334.7818192620912</v>
      </c>
      <c r="AT19" s="17">
        <f t="shared" si="21"/>
        <v>57876.450113896863</v>
      </c>
      <c r="AU19" s="46">
        <f t="shared" si="34"/>
        <v>12700</v>
      </c>
      <c r="AV19" s="17">
        <f t="shared" si="22"/>
        <v>45176.450113896863</v>
      </c>
      <c r="AW19" s="17">
        <f t="shared" si="35"/>
        <v>5069.1858527634777</v>
      </c>
      <c r="AX19" s="44">
        <f t="shared" si="36"/>
        <v>0.12</v>
      </c>
      <c r="AY19" s="22">
        <f t="shared" si="3"/>
        <v>0.12</v>
      </c>
      <c r="AZ19" s="12">
        <f t="shared" si="23"/>
        <v>0.22</v>
      </c>
    </row>
    <row r="20" spans="1:52" ht="18.75" thickBot="1" x14ac:dyDescent="0.4">
      <c r="A20" s="5">
        <f t="shared" si="24"/>
        <v>42988</v>
      </c>
      <c r="B20" s="37">
        <f t="shared" si="25"/>
        <v>133574.45760620039</v>
      </c>
      <c r="C20" s="18">
        <f t="shared" si="4"/>
        <v>0.12106470242892552</v>
      </c>
      <c r="D20" s="37">
        <f t="shared" si="26"/>
        <v>140509.1094648703</v>
      </c>
      <c r="E20" s="18">
        <f t="shared" si="5"/>
        <v>0.12734989780806885</v>
      </c>
      <c r="F20" s="37">
        <f t="shared" si="27"/>
        <v>808757.94038443337</v>
      </c>
      <c r="G20" s="18">
        <f t="shared" si="6"/>
        <v>0.73301468816989701</v>
      </c>
      <c r="H20" s="38">
        <f t="shared" si="7"/>
        <v>20489.644616827543</v>
      </c>
      <c r="I20" s="18">
        <f t="shared" si="8"/>
        <v>1.8570711593108625E-2</v>
      </c>
      <c r="J20" s="17">
        <f t="shared" si="37"/>
        <v>1103331.1520723316</v>
      </c>
      <c r="K20" s="16">
        <f t="shared" si="39"/>
        <v>5984.8380281634163</v>
      </c>
      <c r="L20" s="18">
        <f t="shared" si="28"/>
        <v>5.4539191060904461E-3</v>
      </c>
      <c r="M20" s="19">
        <f t="shared" si="29"/>
        <v>26</v>
      </c>
      <c r="N20" s="50">
        <v>5.0000000000000001E-3</v>
      </c>
      <c r="O20" s="29">
        <f t="shared" si="9"/>
        <v>5.193241933560154E-2</v>
      </c>
      <c r="P20" s="17">
        <f t="shared" si="0"/>
        <v>57298.65605545268</v>
      </c>
      <c r="Q20" s="20">
        <f t="shared" si="38"/>
        <v>1.0481188701620864E-2</v>
      </c>
      <c r="R20" s="42">
        <f t="shared" si="30"/>
        <v>0.2</v>
      </c>
      <c r="S20" s="17">
        <f t="shared" si="10"/>
        <v>60000</v>
      </c>
      <c r="T20" s="42">
        <f t="shared" si="40"/>
        <v>-0.2</v>
      </c>
      <c r="U20" s="17">
        <f t="shared" si="10"/>
        <v>40000</v>
      </c>
      <c r="V20" s="42">
        <f t="shared" si="40"/>
        <v>-0.1</v>
      </c>
      <c r="W20" s="42">
        <f t="shared" si="12"/>
        <v>0.1</v>
      </c>
      <c r="X20" s="29">
        <f t="shared" si="13"/>
        <v>5.193241933560154E-2</v>
      </c>
      <c r="Y20" s="21">
        <f t="shared" si="1"/>
        <v>1.9974007436769823E-3</v>
      </c>
      <c r="Z20" s="17">
        <f t="shared" si="2"/>
        <v>2203.7944636712568</v>
      </c>
      <c r="AA20" s="17">
        <f t="shared" ref="AA20:AL28" si="41">AA19+Z20</f>
        <v>39305.013808337339</v>
      </c>
      <c r="AB20" s="44">
        <v>0</v>
      </c>
      <c r="AC20" s="17">
        <f t="shared" si="14"/>
        <v>0</v>
      </c>
      <c r="AD20" s="17">
        <f t="shared" si="41"/>
        <v>0</v>
      </c>
      <c r="AE20" s="44">
        <v>0.3</v>
      </c>
      <c r="AF20" s="17">
        <f t="shared" si="15"/>
        <v>661.13833910137703</v>
      </c>
      <c r="AG20" s="17">
        <f t="shared" si="41"/>
        <v>11791.504142501204</v>
      </c>
      <c r="AH20" s="44">
        <v>0.7</v>
      </c>
      <c r="AI20" s="17">
        <f t="shared" si="16"/>
        <v>1542.6561245698797</v>
      </c>
      <c r="AJ20" s="17">
        <f t="shared" si="32"/>
        <v>27513.50966583614</v>
      </c>
      <c r="AK20" s="37">
        <f t="shared" si="33"/>
        <v>1153.8461538461538</v>
      </c>
      <c r="AL20" s="17">
        <f t="shared" si="41"/>
        <v>21923.076923076922</v>
      </c>
      <c r="AM20" s="37"/>
      <c r="AN20" s="23">
        <f t="shared" si="17"/>
        <v>2</v>
      </c>
      <c r="AO20" s="37"/>
      <c r="AP20" s="23">
        <f t="shared" si="18"/>
        <v>2</v>
      </c>
      <c r="AQ20" s="37"/>
      <c r="AR20" s="23">
        <f t="shared" si="19"/>
        <v>2</v>
      </c>
      <c r="AS20" s="17">
        <f t="shared" si="20"/>
        <v>3357.6406175174106</v>
      </c>
      <c r="AT20" s="17">
        <f t="shared" si="21"/>
        <v>61234.090731414275</v>
      </c>
      <c r="AU20" s="46">
        <f t="shared" si="34"/>
        <v>12700</v>
      </c>
      <c r="AV20" s="17">
        <f t="shared" si="22"/>
        <v>48534.090731414275</v>
      </c>
      <c r="AW20" s="17">
        <f t="shared" si="35"/>
        <v>5472.1027268655671</v>
      </c>
      <c r="AX20" s="44">
        <f t="shared" si="36"/>
        <v>0.12</v>
      </c>
      <c r="AY20" s="22">
        <f t="shared" si="3"/>
        <v>0.12</v>
      </c>
      <c r="AZ20" s="12">
        <f t="shared" si="23"/>
        <v>0.22</v>
      </c>
    </row>
    <row r="21" spans="1:52" ht="18.75" thickBot="1" x14ac:dyDescent="0.4">
      <c r="A21" s="5">
        <f t="shared" si="24"/>
        <v>43002</v>
      </c>
      <c r="B21" s="37">
        <f t="shared" si="25"/>
        <v>134316.82334174254</v>
      </c>
      <c r="C21" s="18">
        <f t="shared" si="4"/>
        <v>0.12107753080343801</v>
      </c>
      <c r="D21" s="37">
        <f t="shared" si="26"/>
        <v>141290.0158617039</v>
      </c>
      <c r="E21" s="18">
        <f t="shared" si="5"/>
        <v>0.12736339218050302</v>
      </c>
      <c r="F21" s="37">
        <f t="shared" si="27"/>
        <v>812587.95542593009</v>
      </c>
      <c r="G21" s="18">
        <f t="shared" si="6"/>
        <v>0.7324930768594915</v>
      </c>
      <c r="H21" s="38">
        <f t="shared" si="7"/>
        <v>21150.78295592892</v>
      </c>
      <c r="I21" s="18">
        <f t="shared" si="8"/>
        <v>1.9066000156567522E-2</v>
      </c>
      <c r="J21" s="17">
        <f t="shared" si="37"/>
        <v>1109345.5775853053</v>
      </c>
      <c r="K21" s="16">
        <f t="shared" si="39"/>
        <v>6014.4255129736848</v>
      </c>
      <c r="L21" s="18">
        <f t="shared" si="28"/>
        <v>5.4511517250982085E-3</v>
      </c>
      <c r="M21" s="19">
        <f t="shared" si="29"/>
        <v>26</v>
      </c>
      <c r="N21" s="50">
        <v>5.0000000000000001E-3</v>
      </c>
      <c r="O21" s="29">
        <f t="shared" si="9"/>
        <v>5.219208143227954E-2</v>
      </c>
      <c r="P21" s="17">
        <f t="shared" si="0"/>
        <v>57899.054721871435</v>
      </c>
      <c r="Q21" s="20">
        <f t="shared" si="38"/>
        <v>1.0478407483723499E-2</v>
      </c>
      <c r="R21" s="42">
        <f t="shared" si="30"/>
        <v>0.2</v>
      </c>
      <c r="S21" s="17">
        <f t="shared" si="10"/>
        <v>60000</v>
      </c>
      <c r="T21" s="42">
        <f t="shared" si="40"/>
        <v>-0.2</v>
      </c>
      <c r="U21" s="17">
        <f t="shared" si="10"/>
        <v>40000</v>
      </c>
      <c r="V21" s="42">
        <f t="shared" si="40"/>
        <v>-0.1</v>
      </c>
      <c r="W21" s="42">
        <f t="shared" si="12"/>
        <v>0.1</v>
      </c>
      <c r="X21" s="29">
        <f t="shared" si="13"/>
        <v>5.219208143227954E-2</v>
      </c>
      <c r="Y21" s="21">
        <f t="shared" si="1"/>
        <v>2.0073877473953667E-3</v>
      </c>
      <c r="Z21" s="17">
        <f t="shared" si="2"/>
        <v>2226.8867200719783</v>
      </c>
      <c r="AA21" s="17">
        <f t="shared" si="41"/>
        <v>41531.900528409315</v>
      </c>
      <c r="AB21" s="44">
        <v>0</v>
      </c>
      <c r="AC21" s="17">
        <f t="shared" si="14"/>
        <v>0</v>
      </c>
      <c r="AD21" s="17">
        <f t="shared" si="41"/>
        <v>0</v>
      </c>
      <c r="AE21" s="44">
        <v>0.3</v>
      </c>
      <c r="AF21" s="17">
        <f t="shared" si="15"/>
        <v>668.06601602159344</v>
      </c>
      <c r="AG21" s="17">
        <f t="shared" si="41"/>
        <v>12459.570158522798</v>
      </c>
      <c r="AH21" s="44">
        <v>0.7</v>
      </c>
      <c r="AI21" s="17">
        <f t="shared" si="16"/>
        <v>1558.8207040503846</v>
      </c>
      <c r="AJ21" s="17">
        <f t="shared" si="32"/>
        <v>29072.330369886524</v>
      </c>
      <c r="AK21" s="37">
        <f t="shared" si="33"/>
        <v>1153.8461538461538</v>
      </c>
      <c r="AL21" s="17">
        <f t="shared" si="41"/>
        <v>23076.923076923074</v>
      </c>
      <c r="AM21" s="37"/>
      <c r="AN21" s="23">
        <f t="shared" si="17"/>
        <v>2</v>
      </c>
      <c r="AO21" s="37"/>
      <c r="AP21" s="23">
        <f t="shared" si="18"/>
        <v>2</v>
      </c>
      <c r="AQ21" s="37"/>
      <c r="AR21" s="23">
        <f t="shared" si="19"/>
        <v>2</v>
      </c>
      <c r="AS21" s="17">
        <f t="shared" si="20"/>
        <v>3380.7328739181321</v>
      </c>
      <c r="AT21" s="17">
        <f t="shared" si="21"/>
        <v>64614.823605332407</v>
      </c>
      <c r="AU21" s="46">
        <f t="shared" si="34"/>
        <v>12700</v>
      </c>
      <c r="AV21" s="17">
        <f t="shared" si="22"/>
        <v>51914.823605332407</v>
      </c>
      <c r="AW21" s="17">
        <f t="shared" si="35"/>
        <v>5877.7906717357428</v>
      </c>
      <c r="AX21" s="44">
        <f t="shared" si="36"/>
        <v>0.12</v>
      </c>
      <c r="AY21" s="22">
        <f t="shared" si="3"/>
        <v>0.12</v>
      </c>
      <c r="AZ21" s="12">
        <f t="shared" si="23"/>
        <v>0.22</v>
      </c>
    </row>
    <row r="22" spans="1:52" ht="18.75" thickBot="1" x14ac:dyDescent="0.4">
      <c r="A22" s="5">
        <f t="shared" si="24"/>
        <v>43016</v>
      </c>
      <c r="B22" s="37">
        <f t="shared" si="25"/>
        <v>135063.3149176226</v>
      </c>
      <c r="C22" s="18">
        <f t="shared" si="4"/>
        <v>0.12109069405722996</v>
      </c>
      <c r="D22" s="37">
        <f t="shared" si="26"/>
        <v>142075.26229601222</v>
      </c>
      <c r="E22" s="18">
        <f t="shared" si="5"/>
        <v>0.12737723881781016</v>
      </c>
      <c r="F22" s="37">
        <f t="shared" si="27"/>
        <v>816432.29033374425</v>
      </c>
      <c r="G22" s="18">
        <f t="shared" si="6"/>
        <v>0.73197042992425287</v>
      </c>
      <c r="H22" s="38">
        <f t="shared" si="7"/>
        <v>21818.848971950512</v>
      </c>
      <c r="I22" s="18">
        <f t="shared" si="8"/>
        <v>1.9561637200706961E-2</v>
      </c>
      <c r="J22" s="17">
        <f t="shared" si="37"/>
        <v>1115389.7165193297</v>
      </c>
      <c r="K22" s="16">
        <f t="shared" si="39"/>
        <v>6044.1389340243768</v>
      </c>
      <c r="L22" s="18">
        <f t="shared" si="28"/>
        <v>5.448382412251155E-3</v>
      </c>
      <c r="M22" s="19">
        <f t="shared" si="29"/>
        <v>26</v>
      </c>
      <c r="N22" s="50">
        <v>-1E-3</v>
      </c>
      <c r="O22" s="29">
        <f t="shared" si="9"/>
        <v>5.2139889350847263E-2</v>
      </c>
      <c r="P22" s="17">
        <f t="shared" si="0"/>
        <v>58156.296402390748</v>
      </c>
      <c r="Q22" s="20">
        <f t="shared" si="38"/>
        <v>4.4429340298390062E-3</v>
      </c>
      <c r="R22" s="42">
        <f t="shared" si="30"/>
        <v>0.2</v>
      </c>
      <c r="S22" s="17">
        <f t="shared" si="10"/>
        <v>60000</v>
      </c>
      <c r="T22" s="42">
        <f t="shared" si="40"/>
        <v>-0.2</v>
      </c>
      <c r="U22" s="17">
        <f t="shared" si="10"/>
        <v>40000</v>
      </c>
      <c r="V22" s="42">
        <f t="shared" si="40"/>
        <v>-0.1</v>
      </c>
      <c r="W22" s="42">
        <f t="shared" si="12"/>
        <v>0.1</v>
      </c>
      <c r="X22" s="29">
        <f t="shared" si="13"/>
        <v>5.2139889350847263E-2</v>
      </c>
      <c r="Y22" s="21">
        <f t="shared" si="1"/>
        <v>2.0053803596479717E-3</v>
      </c>
      <c r="Z22" s="17">
        <f t="shared" si="2"/>
        <v>2236.7806308611825</v>
      </c>
      <c r="AA22" s="17">
        <f t="shared" si="41"/>
        <v>43768.681159270498</v>
      </c>
      <c r="AB22" s="44">
        <v>0</v>
      </c>
      <c r="AC22" s="17">
        <f t="shared" si="14"/>
        <v>0</v>
      </c>
      <c r="AD22" s="17">
        <f t="shared" si="41"/>
        <v>0</v>
      </c>
      <c r="AE22" s="44">
        <v>0.3</v>
      </c>
      <c r="AF22" s="17">
        <f t="shared" si="15"/>
        <v>671.03418925835479</v>
      </c>
      <c r="AG22" s="17">
        <f t="shared" si="41"/>
        <v>13130.604347781153</v>
      </c>
      <c r="AH22" s="44">
        <v>0.7</v>
      </c>
      <c r="AI22" s="17">
        <f t="shared" si="16"/>
        <v>1565.7464416028276</v>
      </c>
      <c r="AJ22" s="17">
        <f t="shared" si="32"/>
        <v>30638.076811489351</v>
      </c>
      <c r="AK22" s="37">
        <f t="shared" si="33"/>
        <v>1153.8461538461538</v>
      </c>
      <c r="AL22" s="17">
        <f t="shared" si="41"/>
        <v>24230.769230769227</v>
      </c>
      <c r="AM22" s="37"/>
      <c r="AN22" s="23">
        <f t="shared" si="17"/>
        <v>2</v>
      </c>
      <c r="AO22" s="37"/>
      <c r="AP22" s="23">
        <f t="shared" si="18"/>
        <v>2</v>
      </c>
      <c r="AQ22" s="37"/>
      <c r="AR22" s="23">
        <f t="shared" si="19"/>
        <v>2</v>
      </c>
      <c r="AS22" s="17">
        <f t="shared" si="20"/>
        <v>3390.6267847073364</v>
      </c>
      <c r="AT22" s="17">
        <f t="shared" si="21"/>
        <v>68005.450390039739</v>
      </c>
      <c r="AU22" s="46">
        <f t="shared" si="34"/>
        <v>12700</v>
      </c>
      <c r="AV22" s="17">
        <f t="shared" si="22"/>
        <v>55305.450390039739</v>
      </c>
      <c r="AW22" s="17">
        <f t="shared" si="35"/>
        <v>6284.6658859006229</v>
      </c>
      <c r="AX22" s="44">
        <f t="shared" si="36"/>
        <v>0.12</v>
      </c>
      <c r="AY22" s="22">
        <f t="shared" si="3"/>
        <v>0.12</v>
      </c>
      <c r="AZ22" s="12">
        <f t="shared" si="23"/>
        <v>0.22</v>
      </c>
    </row>
    <row r="23" spans="1:52" ht="18.75" thickBot="1" x14ac:dyDescent="0.4">
      <c r="A23" s="5">
        <f t="shared" si="24"/>
        <v>43030</v>
      </c>
      <c r="B23" s="37">
        <f t="shared" si="25"/>
        <v>135813.95526399169</v>
      </c>
      <c r="C23" s="18">
        <f t="shared" si="4"/>
        <v>0.12110419012465488</v>
      </c>
      <c r="D23" s="37">
        <f t="shared" si="26"/>
        <v>142864.87288838814</v>
      </c>
      <c r="E23" s="18">
        <f t="shared" si="5"/>
        <v>0.12739143554710361</v>
      </c>
      <c r="F23" s="37">
        <f t="shared" si="27"/>
        <v>820295.00620267354</v>
      </c>
      <c r="G23" s="18">
        <f t="shared" si="6"/>
        <v>0.73145032994861781</v>
      </c>
      <c r="H23" s="38">
        <f t="shared" si="7"/>
        <v>22489.883161208869</v>
      </c>
      <c r="I23" s="18">
        <f t="shared" si="8"/>
        <v>2.0054044379623673E-2</v>
      </c>
      <c r="J23" s="17">
        <f t="shared" si="37"/>
        <v>1121463.7175162623</v>
      </c>
      <c r="K23" s="16">
        <f t="shared" si="39"/>
        <v>6074.0009969326202</v>
      </c>
      <c r="L23" s="18">
        <f t="shared" si="28"/>
        <v>5.4456311609964152E-3</v>
      </c>
      <c r="M23" s="19">
        <f t="shared" si="29"/>
        <v>26</v>
      </c>
      <c r="N23" s="50">
        <v>-1E-3</v>
      </c>
      <c r="O23" s="29">
        <f t="shared" si="9"/>
        <v>5.2087749461496413E-2</v>
      </c>
      <c r="P23" s="17">
        <f t="shared" si="0"/>
        <v>58414.521148145461</v>
      </c>
      <c r="Q23" s="20">
        <f t="shared" si="38"/>
        <v>4.4401855298353806E-3</v>
      </c>
      <c r="R23" s="42">
        <f t="shared" si="30"/>
        <v>0.2</v>
      </c>
      <c r="S23" s="17">
        <f t="shared" si="10"/>
        <v>60000</v>
      </c>
      <c r="T23" s="42">
        <f t="shared" si="40"/>
        <v>-0.2</v>
      </c>
      <c r="U23" s="17">
        <f t="shared" si="10"/>
        <v>40000</v>
      </c>
      <c r="V23" s="42">
        <f t="shared" si="40"/>
        <v>-0.1</v>
      </c>
      <c r="W23" s="42">
        <f t="shared" si="12"/>
        <v>0.1</v>
      </c>
      <c r="X23" s="29">
        <f t="shared" si="13"/>
        <v>5.2087749461496413E-2</v>
      </c>
      <c r="Y23" s="21">
        <f t="shared" si="1"/>
        <v>2.0033749792883236E-3</v>
      </c>
      <c r="Z23" s="17">
        <f t="shared" si="2"/>
        <v>2246.7123518517483</v>
      </c>
      <c r="AA23" s="17">
        <f t="shared" si="41"/>
        <v>46015.393511122245</v>
      </c>
      <c r="AB23" s="44">
        <v>0</v>
      </c>
      <c r="AC23" s="17">
        <f t="shared" si="14"/>
        <v>0</v>
      </c>
      <c r="AD23" s="17">
        <f t="shared" si="41"/>
        <v>0</v>
      </c>
      <c r="AE23" s="44">
        <v>0.3</v>
      </c>
      <c r="AF23" s="17">
        <f t="shared" si="15"/>
        <v>674.01370555552444</v>
      </c>
      <c r="AG23" s="17">
        <f t="shared" si="41"/>
        <v>13804.618053336677</v>
      </c>
      <c r="AH23" s="44">
        <v>0.7</v>
      </c>
      <c r="AI23" s="17">
        <f t="shared" si="16"/>
        <v>1572.6986462962236</v>
      </c>
      <c r="AJ23" s="17">
        <f t="shared" si="32"/>
        <v>32210.775457785574</v>
      </c>
      <c r="AK23" s="37">
        <f t="shared" si="33"/>
        <v>1153.8461538461538</v>
      </c>
      <c r="AL23" s="17">
        <f t="shared" si="41"/>
        <v>25384.615384615379</v>
      </c>
      <c r="AM23" s="37"/>
      <c r="AN23" s="23">
        <f t="shared" si="17"/>
        <v>2</v>
      </c>
      <c r="AO23" s="37"/>
      <c r="AP23" s="23">
        <f t="shared" si="18"/>
        <v>2</v>
      </c>
      <c r="AQ23" s="37"/>
      <c r="AR23" s="23">
        <f t="shared" si="19"/>
        <v>2</v>
      </c>
      <c r="AS23" s="17">
        <f t="shared" si="20"/>
        <v>3400.5585056979021</v>
      </c>
      <c r="AT23" s="17">
        <f t="shared" si="21"/>
        <v>71406.008895737643</v>
      </c>
      <c r="AU23" s="46">
        <f t="shared" si="34"/>
        <v>12700</v>
      </c>
      <c r="AV23" s="17">
        <f t="shared" si="22"/>
        <v>58706.008895737643</v>
      </c>
      <c r="AW23" s="17">
        <f t="shared" si="35"/>
        <v>6692.7329065843714</v>
      </c>
      <c r="AX23" s="44">
        <f t="shared" si="36"/>
        <v>0.12</v>
      </c>
      <c r="AY23" s="22">
        <f t="shared" si="3"/>
        <v>0.12</v>
      </c>
      <c r="AZ23" s="12">
        <f t="shared" si="23"/>
        <v>0.22</v>
      </c>
    </row>
    <row r="24" spans="1:52" ht="18.75" thickBot="1" x14ac:dyDescent="0.4">
      <c r="A24" s="5">
        <f t="shared" si="24"/>
        <v>43044</v>
      </c>
      <c r="B24" s="37">
        <f t="shared" si="25"/>
        <v>136568.76743843965</v>
      </c>
      <c r="C24" s="18">
        <f t="shared" si="4"/>
        <v>0.12111801695560921</v>
      </c>
      <c r="D24" s="37">
        <f t="shared" si="26"/>
        <v>143658.87189347937</v>
      </c>
      <c r="E24" s="18">
        <f t="shared" si="5"/>
        <v>0.12740598021184663</v>
      </c>
      <c r="F24" s="37">
        <f t="shared" si="27"/>
        <v>824176.19378234237</v>
      </c>
      <c r="G24" s="18">
        <f t="shared" si="6"/>
        <v>0.73093276072756297</v>
      </c>
      <c r="H24" s="38">
        <f t="shared" si="7"/>
        <v>23163.896866764393</v>
      </c>
      <c r="I24" s="18">
        <f t="shared" si="8"/>
        <v>2.0543242104981301E-2</v>
      </c>
      <c r="J24" s="17">
        <f t="shared" si="37"/>
        <v>1127567.7299810257</v>
      </c>
      <c r="K24" s="16">
        <f t="shared" si="39"/>
        <v>6104.0124647633638</v>
      </c>
      <c r="L24" s="18">
        <f t="shared" si="28"/>
        <v>5.4428978569918381E-3</v>
      </c>
      <c r="M24" s="19">
        <f t="shared" si="29"/>
        <v>26</v>
      </c>
      <c r="N24" s="50">
        <v>0</v>
      </c>
      <c r="O24" s="29">
        <f t="shared" si="9"/>
        <v>5.2087749461496413E-2</v>
      </c>
      <c r="P24" s="17">
        <f t="shared" si="0"/>
        <v>58732.465420119901</v>
      </c>
      <c r="Q24" s="20">
        <f t="shared" si="38"/>
        <v>5.4428978569917505E-3</v>
      </c>
      <c r="R24" s="42">
        <f t="shared" si="30"/>
        <v>0.2</v>
      </c>
      <c r="S24" s="17">
        <f t="shared" si="10"/>
        <v>60000</v>
      </c>
      <c r="T24" s="42">
        <f t="shared" si="40"/>
        <v>-0.2</v>
      </c>
      <c r="U24" s="17">
        <f t="shared" si="10"/>
        <v>40000</v>
      </c>
      <c r="V24" s="42">
        <f t="shared" si="40"/>
        <v>-0.1</v>
      </c>
      <c r="W24" s="42">
        <f t="shared" si="12"/>
        <v>0.1</v>
      </c>
      <c r="X24" s="29">
        <f t="shared" si="13"/>
        <v>5.2087749461496413E-2</v>
      </c>
      <c r="Y24" s="21">
        <f t="shared" si="1"/>
        <v>2.0033749792883236E-3</v>
      </c>
      <c r="Z24" s="17">
        <f t="shared" si="2"/>
        <v>2258.9409776969196</v>
      </c>
      <c r="AA24" s="17">
        <f t="shared" si="41"/>
        <v>48274.334488819164</v>
      </c>
      <c r="AB24" s="44">
        <v>1</v>
      </c>
      <c r="AC24" s="17">
        <f t="shared" si="14"/>
        <v>2258.9409776969196</v>
      </c>
      <c r="AD24" s="17">
        <f t="shared" si="41"/>
        <v>2258.9409776969196</v>
      </c>
      <c r="AE24" s="44">
        <v>0</v>
      </c>
      <c r="AF24" s="17">
        <f t="shared" si="15"/>
        <v>0</v>
      </c>
      <c r="AG24" s="17">
        <f t="shared" si="41"/>
        <v>13804.618053336677</v>
      </c>
      <c r="AH24" s="44">
        <v>0</v>
      </c>
      <c r="AI24" s="17">
        <f t="shared" si="16"/>
        <v>0</v>
      </c>
      <c r="AJ24" s="17">
        <f t="shared" si="32"/>
        <v>32210.775457785574</v>
      </c>
      <c r="AK24" s="37">
        <f t="shared" si="33"/>
        <v>1153.8461538461538</v>
      </c>
      <c r="AL24" s="17">
        <f t="shared" si="41"/>
        <v>26538.461538461532</v>
      </c>
      <c r="AM24" s="37"/>
      <c r="AN24" s="23">
        <f t="shared" si="17"/>
        <v>2</v>
      </c>
      <c r="AO24" s="37"/>
      <c r="AP24" s="23">
        <f t="shared" si="18"/>
        <v>2</v>
      </c>
      <c r="AQ24" s="37"/>
      <c r="AR24" s="23">
        <f t="shared" si="19"/>
        <v>2</v>
      </c>
      <c r="AS24" s="17">
        <f t="shared" si="20"/>
        <v>3412.7871315430734</v>
      </c>
      <c r="AT24" s="17">
        <f t="shared" si="21"/>
        <v>74818.796027280725</v>
      </c>
      <c r="AU24" s="46">
        <f t="shared" si="34"/>
        <v>12700</v>
      </c>
      <c r="AV24" s="17">
        <f t="shared" si="22"/>
        <v>62118.796027280725</v>
      </c>
      <c r="AW24" s="17">
        <f t="shared" si="35"/>
        <v>7102.26736236954</v>
      </c>
      <c r="AX24" s="44">
        <f t="shared" si="36"/>
        <v>0.12</v>
      </c>
      <c r="AY24" s="22">
        <f t="shared" si="3"/>
        <v>0.12</v>
      </c>
      <c r="AZ24" s="12">
        <f t="shared" si="23"/>
        <v>0.22</v>
      </c>
    </row>
    <row r="25" spans="1:52" ht="18.75" thickBot="1" x14ac:dyDescent="0.4">
      <c r="A25" s="5">
        <f t="shared" si="24"/>
        <v>43058</v>
      </c>
      <c r="B25" s="37">
        <f t="shared" si="25"/>
        <v>139599.27010329548</v>
      </c>
      <c r="C25" s="18">
        <f t="shared" si="4"/>
        <v>0.12313537296983826</v>
      </c>
      <c r="D25" s="37">
        <f t="shared" si="26"/>
        <v>144457.28370073353</v>
      </c>
      <c r="E25" s="18">
        <f t="shared" si="5"/>
        <v>0.12742044778269687</v>
      </c>
      <c r="F25" s="37">
        <f t="shared" si="27"/>
        <v>826485.21599811746</v>
      </c>
      <c r="G25" s="18">
        <f t="shared" si="6"/>
        <v>0.72901215923752227</v>
      </c>
      <c r="H25" s="38">
        <f t="shared" si="7"/>
        <v>23163.896866764393</v>
      </c>
      <c r="I25" s="18">
        <f t="shared" si="8"/>
        <v>2.04320200099425E-2</v>
      </c>
      <c r="J25" s="17">
        <f t="shared" si="37"/>
        <v>1133705.666668911</v>
      </c>
      <c r="K25" s="16">
        <f t="shared" si="39"/>
        <v>6137.936687885318</v>
      </c>
      <c r="L25" s="18">
        <f t="shared" si="28"/>
        <v>5.4435192890706485E-3</v>
      </c>
      <c r="M25" s="19">
        <f t="shared" si="29"/>
        <v>26</v>
      </c>
      <c r="N25" s="50">
        <v>0</v>
      </c>
      <c r="O25" s="29">
        <f t="shared" si="9"/>
        <v>5.2087749461496413E-2</v>
      </c>
      <c r="P25" s="17">
        <f t="shared" si="0"/>
        <v>59052.176728529004</v>
      </c>
      <c r="Q25" s="20">
        <f t="shared" si="38"/>
        <v>5.4435192890707482E-3</v>
      </c>
      <c r="R25" s="42">
        <f t="shared" si="30"/>
        <v>0.2</v>
      </c>
      <c r="S25" s="17">
        <f t="shared" si="10"/>
        <v>60000</v>
      </c>
      <c r="T25" s="42">
        <f t="shared" si="40"/>
        <v>-0.2</v>
      </c>
      <c r="U25" s="17">
        <f t="shared" si="10"/>
        <v>40000</v>
      </c>
      <c r="V25" s="42">
        <f t="shared" si="40"/>
        <v>-0.1</v>
      </c>
      <c r="W25" s="42">
        <f t="shared" si="12"/>
        <v>0.1</v>
      </c>
      <c r="X25" s="29">
        <f t="shared" si="13"/>
        <v>5.2087749461496413E-2</v>
      </c>
      <c r="Y25" s="21">
        <f t="shared" si="1"/>
        <v>2.0033749792883236E-3</v>
      </c>
      <c r="Z25" s="17">
        <f t="shared" si="2"/>
        <v>2271.2375664818846</v>
      </c>
      <c r="AA25" s="17">
        <f t="shared" si="41"/>
        <v>50545.572055301047</v>
      </c>
      <c r="AB25" s="44">
        <v>1</v>
      </c>
      <c r="AC25" s="17">
        <f t="shared" si="14"/>
        <v>2271.2375664818846</v>
      </c>
      <c r="AD25" s="17">
        <f t="shared" si="41"/>
        <v>4530.1785441788043</v>
      </c>
      <c r="AE25" s="44">
        <v>0</v>
      </c>
      <c r="AF25" s="17">
        <f t="shared" si="15"/>
        <v>0</v>
      </c>
      <c r="AG25" s="17">
        <f t="shared" si="41"/>
        <v>13804.618053336677</v>
      </c>
      <c r="AH25" s="44">
        <v>0</v>
      </c>
      <c r="AI25" s="17">
        <f t="shared" si="16"/>
        <v>0</v>
      </c>
      <c r="AJ25" s="17">
        <f t="shared" si="32"/>
        <v>32210.775457785574</v>
      </c>
      <c r="AK25" s="37">
        <f t="shared" si="33"/>
        <v>1153.8461538461538</v>
      </c>
      <c r="AL25" s="17">
        <f t="shared" si="41"/>
        <v>27692.307692307684</v>
      </c>
      <c r="AM25" s="37"/>
      <c r="AN25" s="23">
        <f t="shared" si="17"/>
        <v>2</v>
      </c>
      <c r="AO25" s="37"/>
      <c r="AP25" s="23">
        <f t="shared" si="18"/>
        <v>2</v>
      </c>
      <c r="AQ25" s="37"/>
      <c r="AR25" s="23">
        <f t="shared" si="19"/>
        <v>2</v>
      </c>
      <c r="AS25" s="17">
        <f t="shared" si="20"/>
        <v>3425.0837203280385</v>
      </c>
      <c r="AT25" s="17">
        <f t="shared" si="21"/>
        <v>78243.879747608764</v>
      </c>
      <c r="AU25" s="46">
        <f t="shared" si="34"/>
        <v>12700</v>
      </c>
      <c r="AV25" s="17">
        <f t="shared" si="22"/>
        <v>65543.879747608764</v>
      </c>
      <c r="AW25" s="17">
        <f t="shared" si="35"/>
        <v>7513.2774088089045</v>
      </c>
      <c r="AX25" s="44">
        <f t="shared" si="36"/>
        <v>0.12</v>
      </c>
      <c r="AY25" s="22">
        <f t="shared" si="3"/>
        <v>0.12</v>
      </c>
      <c r="AZ25" s="12">
        <f t="shared" si="23"/>
        <v>0.22</v>
      </c>
    </row>
    <row r="26" spans="1:52" ht="18.75" thickBot="1" x14ac:dyDescent="0.4">
      <c r="A26" s="5">
        <f t="shared" si="24"/>
        <v>43072</v>
      </c>
      <c r="B26" s="37">
        <f t="shared" si="25"/>
        <v>142658.9802989421</v>
      </c>
      <c r="C26" s="18">
        <f t="shared" si="4"/>
        <v>0.12515288112175429</v>
      </c>
      <c r="D26" s="37">
        <f t="shared" si="26"/>
        <v>145260.13283514723</v>
      </c>
      <c r="E26" s="18">
        <f t="shared" si="5"/>
        <v>0.12743483865054819</v>
      </c>
      <c r="F26" s="37">
        <f t="shared" si="27"/>
        <v>828794.70611945749</v>
      </c>
      <c r="G26" s="18">
        <f t="shared" si="6"/>
        <v>0.72709089264447047</v>
      </c>
      <c r="H26" s="38">
        <f t="shared" si="7"/>
        <v>23163.896866764393</v>
      </c>
      <c r="I26" s="18">
        <f t="shared" si="8"/>
        <v>2.0321387583226956E-2</v>
      </c>
      <c r="J26" s="17">
        <f t="shared" si="37"/>
        <v>1139877.7161203113</v>
      </c>
      <c r="K26" s="16">
        <f t="shared" si="39"/>
        <v>6172.049451400293</v>
      </c>
      <c r="L26" s="18">
        <f t="shared" si="28"/>
        <v>5.444137427252348E-3</v>
      </c>
      <c r="M26" s="19">
        <f t="shared" si="29"/>
        <v>26</v>
      </c>
      <c r="N26" s="50">
        <v>-1E-3</v>
      </c>
      <c r="O26" s="29">
        <f t="shared" si="9"/>
        <v>5.2035661712034914E-2</v>
      </c>
      <c r="P26" s="17">
        <f t="shared" si="0"/>
        <v>59314.291229123482</v>
      </c>
      <c r="Q26" s="20">
        <f t="shared" si="38"/>
        <v>4.4386932898249397E-3</v>
      </c>
      <c r="R26" s="42">
        <f t="shared" si="30"/>
        <v>0.2</v>
      </c>
      <c r="S26" s="17">
        <f t="shared" si="10"/>
        <v>60000</v>
      </c>
      <c r="T26" s="42">
        <f t="shared" si="40"/>
        <v>-0.2</v>
      </c>
      <c r="U26" s="17">
        <f t="shared" si="10"/>
        <v>40000</v>
      </c>
      <c r="V26" s="42">
        <f t="shared" si="40"/>
        <v>-0.1</v>
      </c>
      <c r="W26" s="42">
        <f t="shared" si="12"/>
        <v>0.1</v>
      </c>
      <c r="X26" s="29">
        <f t="shared" si="13"/>
        <v>5.2035661712034914E-2</v>
      </c>
      <c r="Y26" s="21">
        <f t="shared" si="1"/>
        <v>2.0013716043090352E-3</v>
      </c>
      <c r="Z26" s="17">
        <f t="shared" si="2"/>
        <v>2281.3188934278264</v>
      </c>
      <c r="AA26" s="17">
        <f t="shared" si="41"/>
        <v>52826.890948728877</v>
      </c>
      <c r="AB26" s="44">
        <v>0.5</v>
      </c>
      <c r="AC26" s="17">
        <f t="shared" si="14"/>
        <v>1140.6594467139132</v>
      </c>
      <c r="AD26" s="17">
        <f t="shared" si="41"/>
        <v>5670.8379908927172</v>
      </c>
      <c r="AE26" s="44">
        <v>0.5</v>
      </c>
      <c r="AF26" s="17">
        <f t="shared" si="15"/>
        <v>1140.6594467139132</v>
      </c>
      <c r="AG26" s="17">
        <f t="shared" si="41"/>
        <v>14945.27750005059</v>
      </c>
      <c r="AH26" s="44">
        <v>0</v>
      </c>
      <c r="AI26" s="17">
        <f t="shared" si="16"/>
        <v>0</v>
      </c>
      <c r="AJ26" s="17">
        <f t="shared" si="32"/>
        <v>32210.775457785574</v>
      </c>
      <c r="AK26" s="37">
        <f t="shared" si="33"/>
        <v>1153.8461538461538</v>
      </c>
      <c r="AL26" s="17">
        <f t="shared" si="41"/>
        <v>28846.153846153837</v>
      </c>
      <c r="AM26" s="37"/>
      <c r="AN26" s="23">
        <f t="shared" si="17"/>
        <v>2</v>
      </c>
      <c r="AO26" s="37"/>
      <c r="AP26" s="23">
        <f t="shared" si="18"/>
        <v>2</v>
      </c>
      <c r="AQ26" s="37"/>
      <c r="AR26" s="23">
        <f t="shared" si="19"/>
        <v>2</v>
      </c>
      <c r="AS26" s="17">
        <f t="shared" si="20"/>
        <v>3435.1650472739802</v>
      </c>
      <c r="AT26" s="17">
        <f t="shared" si="21"/>
        <v>81679.04479488275</v>
      </c>
      <c r="AU26" s="46">
        <f t="shared" si="34"/>
        <v>12700</v>
      </c>
      <c r="AV26" s="17">
        <f t="shared" si="22"/>
        <v>68979.04479488275</v>
      </c>
      <c r="AW26" s="17">
        <f t="shared" si="35"/>
        <v>7925.4972144817821</v>
      </c>
      <c r="AX26" s="44">
        <f t="shared" si="36"/>
        <v>0.12</v>
      </c>
      <c r="AY26" s="22">
        <f t="shared" si="3"/>
        <v>0.12</v>
      </c>
      <c r="AZ26" s="12">
        <f t="shared" si="23"/>
        <v>0.22</v>
      </c>
    </row>
    <row r="27" spans="1:52" ht="18.75" thickBot="1" x14ac:dyDescent="0.4">
      <c r="A27" s="5">
        <f t="shared" si="24"/>
        <v>43086</v>
      </c>
      <c r="B27" s="37">
        <f t="shared" si="25"/>
        <v>144598.83389731939</v>
      </c>
      <c r="C27" s="18">
        <f t="shared" si="4"/>
        <v>0.12616843544104978</v>
      </c>
      <c r="D27" s="37">
        <f t="shared" si="26"/>
        <v>146067.44395801949</v>
      </c>
      <c r="E27" s="18">
        <f t="shared" si="5"/>
        <v>0.12744985817896132</v>
      </c>
      <c r="F27" s="37">
        <f t="shared" si="27"/>
        <v>831106.89432042046</v>
      </c>
      <c r="G27" s="18">
        <f t="shared" si="6"/>
        <v>0.72517498042300099</v>
      </c>
      <c r="H27" s="38">
        <f t="shared" si="7"/>
        <v>24304.556313478308</v>
      </c>
      <c r="I27" s="18">
        <f t="shared" si="8"/>
        <v>2.1206725956987776E-2</v>
      </c>
      <c r="J27" s="17">
        <f t="shared" si="37"/>
        <v>1146077.7284892378</v>
      </c>
      <c r="K27" s="16">
        <f t="shared" si="39"/>
        <v>6200.0123689265456</v>
      </c>
      <c r="L27" s="18">
        <f t="shared" si="28"/>
        <v>5.4391907844544172E-3</v>
      </c>
      <c r="M27" s="19">
        <f t="shared" si="29"/>
        <v>26</v>
      </c>
      <c r="N27" s="50">
        <v>-1E-3</v>
      </c>
      <c r="O27" s="29">
        <f t="shared" si="9"/>
        <v>5.1983626050322876E-2</v>
      </c>
      <c r="P27" s="17">
        <f t="shared" si="0"/>
        <v>59577.276062388009</v>
      </c>
      <c r="Q27" s="20">
        <f t="shared" si="38"/>
        <v>4.4337515936699028E-3</v>
      </c>
      <c r="R27" s="42">
        <f t="shared" si="30"/>
        <v>0.2</v>
      </c>
      <c r="S27" s="17">
        <f t="shared" si="10"/>
        <v>60000</v>
      </c>
      <c r="T27" s="42">
        <f t="shared" si="40"/>
        <v>-0.2</v>
      </c>
      <c r="U27" s="17">
        <f t="shared" si="10"/>
        <v>40000</v>
      </c>
      <c r="V27" s="42">
        <f t="shared" si="40"/>
        <v>-0.1</v>
      </c>
      <c r="W27" s="42">
        <f t="shared" si="12"/>
        <v>0.1</v>
      </c>
      <c r="X27" s="29">
        <f t="shared" si="13"/>
        <v>5.1983626050322876E-2</v>
      </c>
      <c r="Y27" s="21">
        <f t="shared" si="1"/>
        <v>1.999370232704726E-3</v>
      </c>
      <c r="Z27" s="17">
        <f t="shared" si="2"/>
        <v>2291.4336947072311</v>
      </c>
      <c r="AA27" s="17">
        <f t="shared" si="41"/>
        <v>55118.324643436106</v>
      </c>
      <c r="AB27" s="44">
        <v>0.5</v>
      </c>
      <c r="AC27" s="17">
        <f t="shared" si="14"/>
        <v>1145.7168473536155</v>
      </c>
      <c r="AD27" s="17">
        <f t="shared" si="41"/>
        <v>6816.554838246333</v>
      </c>
      <c r="AE27" s="44">
        <v>0.5</v>
      </c>
      <c r="AF27" s="17">
        <f t="shared" si="15"/>
        <v>1145.7168473536155</v>
      </c>
      <c r="AG27" s="17">
        <f t="shared" si="41"/>
        <v>16090.994347404205</v>
      </c>
      <c r="AH27" s="44">
        <v>0</v>
      </c>
      <c r="AI27" s="17">
        <f t="shared" si="16"/>
        <v>0</v>
      </c>
      <c r="AJ27" s="17">
        <f t="shared" si="32"/>
        <v>32210.775457785574</v>
      </c>
      <c r="AK27" s="37">
        <f t="shared" si="33"/>
        <v>1153.8461538461538</v>
      </c>
      <c r="AL27" s="17">
        <f t="shared" si="41"/>
        <v>29999.999999999989</v>
      </c>
      <c r="AM27" s="37"/>
      <c r="AN27" s="23">
        <f t="shared" si="17"/>
        <v>2</v>
      </c>
      <c r="AO27" s="37"/>
      <c r="AP27" s="23">
        <f t="shared" si="18"/>
        <v>2</v>
      </c>
      <c r="AQ27" s="37"/>
      <c r="AR27" s="23">
        <f t="shared" si="19"/>
        <v>2</v>
      </c>
      <c r="AS27" s="17">
        <f t="shared" si="20"/>
        <v>3445.2798485533849</v>
      </c>
      <c r="AT27" s="17">
        <f t="shared" si="21"/>
        <v>85124.324643436135</v>
      </c>
      <c r="AU27" s="46">
        <f t="shared" si="34"/>
        <v>12700</v>
      </c>
      <c r="AV27" s="17">
        <f t="shared" si="22"/>
        <v>72424.324643436135</v>
      </c>
      <c r="AW27" s="17">
        <f t="shared" si="35"/>
        <v>8338.9307963081883</v>
      </c>
      <c r="AX27" s="44">
        <f t="shared" si="36"/>
        <v>0.12</v>
      </c>
      <c r="AY27" s="22">
        <f t="shared" si="3"/>
        <v>0.12</v>
      </c>
      <c r="AZ27" s="12">
        <f t="shared" si="23"/>
        <v>0.22</v>
      </c>
    </row>
    <row r="28" spans="1:52" ht="18.75" thickBot="1" x14ac:dyDescent="0.4">
      <c r="A28" s="33">
        <f t="shared" ref="A28" si="42">A27+14</f>
        <v>43100</v>
      </c>
      <c r="B28" s="37">
        <f t="shared" si="25"/>
        <v>146554.55411323474</v>
      </c>
      <c r="C28" s="18">
        <f t="shared" si="4"/>
        <v>0.12718373036105668</v>
      </c>
      <c r="D28" s="37">
        <f t="shared" si="26"/>
        <v>146879.24186770926</v>
      </c>
      <c r="E28" s="18">
        <f t="shared" si="5"/>
        <v>0.1274655025657247</v>
      </c>
      <c r="F28" s="37">
        <f t="shared" si="27"/>
        <v>833421.76193572918</v>
      </c>
      <c r="G28" s="18">
        <f t="shared" si="6"/>
        <v>0.7232643795236271</v>
      </c>
      <c r="H28" s="38">
        <f t="shared" si="7"/>
        <v>25450.273160831923</v>
      </c>
      <c r="I28" s="18">
        <f t="shared" si="8"/>
        <v>2.2086387549591524E-2</v>
      </c>
      <c r="J28" s="17">
        <f t="shared" si="37"/>
        <v>1152305.8310775051</v>
      </c>
      <c r="K28" s="16">
        <f t="shared" si="39"/>
        <v>6228.1025882672984</v>
      </c>
      <c r="L28" s="18">
        <f t="shared" si="28"/>
        <v>5.4342759076883877E-3</v>
      </c>
      <c r="M28" s="19">
        <f t="shared" si="29"/>
        <v>26</v>
      </c>
      <c r="N28" s="50">
        <v>-1E-3</v>
      </c>
      <c r="O28" s="29">
        <f t="shared" si="9"/>
        <v>5.1931642424272555E-2</v>
      </c>
      <c r="P28" s="17">
        <f t="shared" si="0"/>
        <v>59841.134382921213</v>
      </c>
      <c r="Q28" s="20">
        <f t="shared" si="38"/>
        <v>4.4288416317808275E-3</v>
      </c>
      <c r="R28" s="42">
        <f t="shared" si="30"/>
        <v>0.2</v>
      </c>
      <c r="S28" s="17">
        <f t="shared" si="10"/>
        <v>60000</v>
      </c>
      <c r="T28" s="42">
        <f t="shared" si="40"/>
        <v>-0.2</v>
      </c>
      <c r="U28" s="17">
        <f t="shared" si="10"/>
        <v>40000</v>
      </c>
      <c r="V28" s="42">
        <f t="shared" si="40"/>
        <v>-0.1</v>
      </c>
      <c r="W28" s="42">
        <f t="shared" si="12"/>
        <v>0.1</v>
      </c>
      <c r="X28" s="29">
        <f t="shared" si="13"/>
        <v>5.1931642424272555E-2</v>
      </c>
      <c r="Y28" s="21">
        <f t="shared" si="1"/>
        <v>1.9973708624720214E-3</v>
      </c>
      <c r="Z28" s="17">
        <f t="shared" si="2"/>
        <v>2301.582091650816</v>
      </c>
      <c r="AA28" s="17">
        <f t="shared" si="41"/>
        <v>57419.906735086923</v>
      </c>
      <c r="AB28" s="44">
        <v>0.5</v>
      </c>
      <c r="AC28" s="17">
        <f t="shared" si="14"/>
        <v>1150.791045825408</v>
      </c>
      <c r="AD28" s="17">
        <f t="shared" si="41"/>
        <v>7967.3458840717412</v>
      </c>
      <c r="AE28" s="44">
        <v>0.5</v>
      </c>
      <c r="AF28" s="17">
        <f t="shared" si="15"/>
        <v>1150.791045825408</v>
      </c>
      <c r="AG28" s="17">
        <f t="shared" si="41"/>
        <v>17241.785393229613</v>
      </c>
      <c r="AH28" s="44">
        <v>0</v>
      </c>
      <c r="AI28" s="17">
        <f t="shared" si="16"/>
        <v>0</v>
      </c>
      <c r="AJ28" s="17">
        <f t="shared" si="32"/>
        <v>32210.775457785574</v>
      </c>
      <c r="AK28" s="47">
        <f t="shared" si="33"/>
        <v>1153.8461538461538</v>
      </c>
      <c r="AL28" s="17">
        <f t="shared" si="41"/>
        <v>31153.846153846142</v>
      </c>
      <c r="AM28" s="47"/>
      <c r="AN28" s="23">
        <f t="shared" si="17"/>
        <v>2</v>
      </c>
      <c r="AO28" s="47"/>
      <c r="AP28" s="23">
        <f t="shared" si="18"/>
        <v>2</v>
      </c>
      <c r="AQ28" s="47"/>
      <c r="AR28" s="23">
        <f t="shared" si="19"/>
        <v>2</v>
      </c>
      <c r="AS28" s="17">
        <f t="shared" si="20"/>
        <v>3455.4282454969698</v>
      </c>
      <c r="AT28" s="17">
        <f t="shared" si="21"/>
        <v>88579.752888933101</v>
      </c>
      <c r="AU28" s="46">
        <f t="shared" si="34"/>
        <v>12700</v>
      </c>
      <c r="AV28" s="17">
        <f t="shared" si="22"/>
        <v>75879.752888933101</v>
      </c>
      <c r="AW28" s="17">
        <f t="shared" si="35"/>
        <v>8753.5821857678238</v>
      </c>
      <c r="AX28" s="44">
        <f t="shared" si="36"/>
        <v>0.12</v>
      </c>
      <c r="AY28" s="22">
        <f t="shared" si="3"/>
        <v>0.12</v>
      </c>
      <c r="AZ28" s="12">
        <f t="shared" si="23"/>
        <v>0.22</v>
      </c>
    </row>
    <row r="29" spans="1:52" ht="18.75" thickBot="1" x14ac:dyDescent="0.4">
      <c r="A29" s="51" t="s">
        <v>13</v>
      </c>
      <c r="Y29" s="52">
        <f>SUM(Y2:Y28)</f>
        <v>5.3411305593358702E-2</v>
      </c>
      <c r="Z29" s="31">
        <f>SUM(Z2:Z28)</f>
        <v>57419.906735086923</v>
      </c>
      <c r="AC29" s="27">
        <f>SUM(AC2:AC28)</f>
        <v>7967.3458840717412</v>
      </c>
      <c r="AF29" s="31">
        <f>SUM(AF2:AF28)</f>
        <v>17241.785393229613</v>
      </c>
      <c r="AI29" s="31">
        <f>SUM(AI2:AI28)</f>
        <v>32210.775457785574</v>
      </c>
      <c r="AK29" s="27">
        <f>SUM(AK2:AK28)</f>
        <v>31153.846153846142</v>
      </c>
      <c r="AM29" s="31">
        <f>SUM(AM2:AM28)</f>
        <v>2</v>
      </c>
      <c r="AO29" s="31">
        <f>SUM(AO2:AO28)</f>
        <v>2</v>
      </c>
      <c r="AQ29" s="31">
        <f>SUM(AQ2:AQ28)</f>
        <v>2</v>
      </c>
      <c r="AS29" s="27">
        <f>SUM(AS2:AS28)</f>
        <v>88579.752888933086</v>
      </c>
    </row>
    <row r="32" spans="1:52" x14ac:dyDescent="0.3">
      <c r="K32" s="28"/>
    </row>
  </sheetData>
  <conditionalFormatting sqref="AY2:AZ28">
    <cfRule type="cellIs" dxfId="15" priority="1" operator="greaterThan">
      <formula>$AX$2</formula>
    </cfRule>
    <cfRule type="cellIs" dxfId="14" priority="2" operator="greaterThan">
      <formula>"2$AS$2"</formula>
    </cfRule>
  </conditionalFormatting>
  <pageMargins left="0.75" right="0.75" top="0.75" bottom="0.5" header="0.5" footer="0.75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D95E5-7BF1-42C5-BB24-0FB7AD1341C3}">
  <sheetPr>
    <tabColor rgb="FF00B0F0"/>
  </sheetPr>
  <dimension ref="A1:BD32"/>
  <sheetViews>
    <sheetView workbookViewId="0"/>
  </sheetViews>
  <sheetFormatPr defaultColWidth="13.28515625" defaultRowHeight="16.5" x14ac:dyDescent="0.3"/>
  <cols>
    <col min="1" max="1" width="14" style="1" bestFit="1" customWidth="1"/>
    <col min="2" max="2" width="16.85546875" style="24" bestFit="1" customWidth="1"/>
    <col min="3" max="3" width="9.28515625" style="24" bestFit="1" customWidth="1"/>
    <col min="4" max="4" width="16.85546875" style="24" bestFit="1" customWidth="1"/>
    <col min="5" max="5" width="10.7109375" style="24" bestFit="1" customWidth="1"/>
    <col min="6" max="6" width="16.85546875" style="24" bestFit="1" customWidth="1"/>
    <col min="7" max="7" width="15.7109375" style="24" bestFit="1" customWidth="1"/>
    <col min="8" max="8" width="16.85546875" style="24" bestFit="1" customWidth="1"/>
    <col min="9" max="9" width="7.85546875" style="24" bestFit="1" customWidth="1"/>
    <col min="10" max="10" width="19.28515625" style="24" bestFit="1" customWidth="1"/>
    <col min="11" max="11" width="15.140625" style="24" bestFit="1" customWidth="1"/>
    <col min="12" max="12" width="7.85546875" style="24" bestFit="1" customWidth="1"/>
    <col min="13" max="13" width="8.5703125" style="24" customWidth="1"/>
    <col min="14" max="14" width="7.85546875" style="24" bestFit="1" customWidth="1"/>
    <col min="15" max="15" width="13" style="24" bestFit="1" customWidth="1"/>
    <col min="16" max="16" width="15.5703125" style="24" bestFit="1" customWidth="1"/>
    <col min="17" max="17" width="13" style="24" bestFit="1" customWidth="1"/>
    <col min="18" max="18" width="9.140625" style="24" bestFit="1" customWidth="1"/>
    <col min="19" max="19" width="16.28515625" style="24" bestFit="1" customWidth="1"/>
    <col min="20" max="20" width="10.42578125" style="24" bestFit="1" customWidth="1"/>
    <col min="21" max="21" width="15.5703125" style="24" bestFit="1" customWidth="1"/>
    <col min="22" max="22" width="10.42578125" style="24" bestFit="1" customWidth="1"/>
    <col min="23" max="23" width="11" style="24" bestFit="1" customWidth="1"/>
    <col min="24" max="25" width="13.140625" style="24" bestFit="1" customWidth="1"/>
    <col min="26" max="27" width="15.5703125" style="24" bestFit="1" customWidth="1"/>
    <col min="28" max="28" width="7.7109375" style="24" bestFit="1" customWidth="1"/>
    <col min="29" max="30" width="14.28515625" style="24" bestFit="1" customWidth="1"/>
    <col min="31" max="31" width="7.28515625" style="24" bestFit="1" customWidth="1"/>
    <col min="32" max="33" width="15.5703125" style="24" bestFit="1" customWidth="1"/>
    <col min="34" max="34" width="7.28515625" style="24" bestFit="1" customWidth="1"/>
    <col min="35" max="38" width="15.5703125" style="24" bestFit="1" customWidth="1"/>
    <col min="39" max="40" width="9.85546875" style="24" bestFit="1" customWidth="1"/>
    <col min="41" max="42" width="11.85546875" style="24" bestFit="1" customWidth="1"/>
    <col min="43" max="44" width="9.28515625" style="24" bestFit="1" customWidth="1"/>
    <col min="45" max="45" width="16.85546875" style="24" bestFit="1" customWidth="1"/>
    <col min="46" max="47" width="15.5703125" style="24" bestFit="1" customWidth="1"/>
    <col min="48" max="49" width="16.42578125" style="24" bestFit="1" customWidth="1"/>
    <col min="50" max="50" width="8.140625" style="24" bestFit="1" customWidth="1"/>
    <col min="51" max="52" width="5.5703125" style="24" bestFit="1" customWidth="1"/>
    <col min="53" max="53" width="8.42578125" style="24" customWidth="1"/>
    <col min="54" max="54" width="6" style="24" bestFit="1" customWidth="1"/>
    <col min="55" max="55" width="15.7109375" style="24" bestFit="1" customWidth="1"/>
    <col min="56" max="56" width="18.7109375" style="24" bestFit="1" customWidth="1"/>
    <col min="57" max="57" width="23.85546875" style="1" bestFit="1" customWidth="1"/>
    <col min="58" max="16384" width="13.28515625" style="1"/>
  </cols>
  <sheetData>
    <row r="1" spans="1:56" s="2" customFormat="1" ht="54.75" thickBot="1" x14ac:dyDescent="0.35">
      <c r="A1" s="3" t="s">
        <v>5</v>
      </c>
      <c r="B1" s="3" t="s">
        <v>1</v>
      </c>
      <c r="C1" s="3" t="s">
        <v>1</v>
      </c>
      <c r="D1" s="3" t="s">
        <v>4</v>
      </c>
      <c r="E1" s="3" t="s">
        <v>4</v>
      </c>
      <c r="F1" s="3" t="s">
        <v>3</v>
      </c>
      <c r="G1" s="3" t="s">
        <v>3</v>
      </c>
      <c r="H1" s="3" t="s">
        <v>0</v>
      </c>
      <c r="I1" s="3" t="s">
        <v>0</v>
      </c>
      <c r="J1" s="3" t="s">
        <v>9</v>
      </c>
      <c r="K1" s="3" t="s">
        <v>11</v>
      </c>
      <c r="L1" s="3" t="s">
        <v>11</v>
      </c>
      <c r="M1" s="3" t="s">
        <v>31</v>
      </c>
      <c r="N1" s="3" t="s">
        <v>24</v>
      </c>
      <c r="O1" s="39" t="s">
        <v>15</v>
      </c>
      <c r="P1" s="3" t="s">
        <v>15</v>
      </c>
      <c r="Q1" s="3" t="s">
        <v>28</v>
      </c>
      <c r="R1" s="3" t="s">
        <v>16</v>
      </c>
      <c r="S1" s="3" t="s">
        <v>16</v>
      </c>
      <c r="T1" s="3" t="s">
        <v>17</v>
      </c>
      <c r="U1" s="3" t="s">
        <v>19</v>
      </c>
      <c r="V1" s="3" t="s">
        <v>29</v>
      </c>
      <c r="W1" s="3" t="s">
        <v>30</v>
      </c>
      <c r="X1" s="3" t="s">
        <v>18</v>
      </c>
      <c r="Y1" s="3" t="s">
        <v>32</v>
      </c>
      <c r="Z1" s="3" t="s">
        <v>10</v>
      </c>
      <c r="AA1" s="3" t="s">
        <v>27</v>
      </c>
      <c r="AB1" s="3" t="s">
        <v>7</v>
      </c>
      <c r="AC1" s="3" t="s">
        <v>7</v>
      </c>
      <c r="AD1" s="3" t="s">
        <v>26</v>
      </c>
      <c r="AE1" s="3" t="s">
        <v>39</v>
      </c>
      <c r="AF1" s="3" t="s">
        <v>39</v>
      </c>
      <c r="AG1" s="3" t="s">
        <v>40</v>
      </c>
      <c r="AH1" s="3" t="s">
        <v>41</v>
      </c>
      <c r="AI1" s="3" t="s">
        <v>41</v>
      </c>
      <c r="AJ1" s="3" t="s">
        <v>42</v>
      </c>
      <c r="AK1" s="3" t="s">
        <v>2</v>
      </c>
      <c r="AL1" s="3" t="s">
        <v>25</v>
      </c>
      <c r="AM1" s="3" t="s">
        <v>8</v>
      </c>
      <c r="AN1" s="3" t="s">
        <v>35</v>
      </c>
      <c r="AO1" s="3" t="s">
        <v>12</v>
      </c>
      <c r="AP1" s="3" t="s">
        <v>36</v>
      </c>
      <c r="AQ1" s="3" t="s">
        <v>37</v>
      </c>
      <c r="AR1" s="3" t="s">
        <v>37</v>
      </c>
      <c r="AS1" s="3" t="s">
        <v>64</v>
      </c>
      <c r="AT1" s="3" t="s">
        <v>33</v>
      </c>
      <c r="AU1" s="3" t="s">
        <v>38</v>
      </c>
      <c r="AV1" s="3" t="s">
        <v>34</v>
      </c>
      <c r="AW1" s="3" t="s">
        <v>63</v>
      </c>
      <c r="AX1" s="3" t="s">
        <v>6</v>
      </c>
      <c r="AY1" s="3" t="s">
        <v>22</v>
      </c>
      <c r="AZ1" s="3" t="s">
        <v>23</v>
      </c>
      <c r="BA1" s="6"/>
      <c r="BB1" s="3" t="s">
        <v>14</v>
      </c>
      <c r="BC1" s="3" t="s">
        <v>20</v>
      </c>
      <c r="BD1" s="3" t="s">
        <v>21</v>
      </c>
    </row>
    <row r="2" spans="1:56" s="4" customFormat="1" ht="18.75" thickBot="1" x14ac:dyDescent="0.4">
      <c r="A2" s="34">
        <v>43101</v>
      </c>
      <c r="B2" s="35">
        <f>'GK Cash Flow 2017'!B28</f>
        <v>146554.55411323474</v>
      </c>
      <c r="C2" s="10">
        <f>IF(J2&lt;=0,0,B2/J2)</f>
        <v>0.12718373036105668</v>
      </c>
      <c r="D2" s="35">
        <f>'GK Cash Flow 2017'!D28</f>
        <v>146879.24186770926</v>
      </c>
      <c r="E2" s="10">
        <f>IF(J2&lt;=0,0,D2/J2)</f>
        <v>0.1274655025657247</v>
      </c>
      <c r="F2" s="35">
        <f>'GK Cash Flow 2017'!F28</f>
        <v>833421.76193572918</v>
      </c>
      <c r="G2" s="10">
        <f>IF(J2&lt;=0,0,F2/J2)</f>
        <v>0.7232643795236271</v>
      </c>
      <c r="H2" s="35">
        <f>'GK Cash Flow 2017'!H28</f>
        <v>25450.273160831923</v>
      </c>
      <c r="I2" s="10">
        <f>IF(J2&lt;=0,0,H2/J2)</f>
        <v>2.2086387549591524E-2</v>
      </c>
      <c r="J2" s="9">
        <f>B2+D2+F2+H2</f>
        <v>1152305.8310775051</v>
      </c>
      <c r="K2" s="7">
        <v>0</v>
      </c>
      <c r="L2" s="10">
        <v>0</v>
      </c>
      <c r="M2" s="48">
        <v>26</v>
      </c>
      <c r="N2" s="49">
        <v>5.0000000000000001E-3</v>
      </c>
      <c r="O2" s="40">
        <f>'GK Cash Flow 2017'!Y29</f>
        <v>5.3411305593358702E-2</v>
      </c>
      <c r="P2" s="9">
        <f t="shared" ref="P2:P28" si="0">J2*O2</f>
        <v>61546.1588806898</v>
      </c>
      <c r="Q2" s="8">
        <v>0</v>
      </c>
      <c r="R2" s="41">
        <v>0.2</v>
      </c>
      <c r="S2" s="9">
        <f>IF($P$2&gt;0,$P$2+$P$2*R2)</f>
        <v>73855.39065682776</v>
      </c>
      <c r="T2" s="41">
        <v>-0.2</v>
      </c>
      <c r="U2" s="9">
        <f>IF($P$2&gt;0,$P$2+$P$2*T2)</f>
        <v>49236.92710455184</v>
      </c>
      <c r="V2" s="41">
        <v>-0.1</v>
      </c>
      <c r="W2" s="41">
        <v>0.1</v>
      </c>
      <c r="X2" s="30">
        <f>O2</f>
        <v>5.3411305593358702E-2</v>
      </c>
      <c r="Y2" s="11">
        <f t="shared" ref="Y2:Y28" si="1">X2/M2</f>
        <v>2.0542809843599502E-3</v>
      </c>
      <c r="Z2" s="9">
        <f t="shared" ref="Z2:Z28" si="2">Y2*J2</f>
        <v>2367.1599569496079</v>
      </c>
      <c r="AA2" s="9">
        <f>Z2</f>
        <v>2367.1599569496079</v>
      </c>
      <c r="AB2" s="43">
        <v>0</v>
      </c>
      <c r="AC2" s="9">
        <f>Z2*AB2</f>
        <v>0</v>
      </c>
      <c r="AD2" s="9">
        <f>AC2</f>
        <v>0</v>
      </c>
      <c r="AE2" s="43">
        <v>0.3</v>
      </c>
      <c r="AF2" s="9">
        <f>Z2*AE2</f>
        <v>710.1479870848824</v>
      </c>
      <c r="AG2" s="9">
        <f>AF2</f>
        <v>710.1479870848824</v>
      </c>
      <c r="AH2" s="43">
        <v>0.7</v>
      </c>
      <c r="AI2" s="9">
        <f>Z2*AH2</f>
        <v>1657.0119698647254</v>
      </c>
      <c r="AJ2" s="9">
        <f>AI2</f>
        <v>1657.0119698647254</v>
      </c>
      <c r="AK2" s="36">
        <f>30000/M2</f>
        <v>1153.8461538461538</v>
      </c>
      <c r="AL2" s="9">
        <f>AK2</f>
        <v>1153.8461538461538</v>
      </c>
      <c r="AM2" s="36">
        <v>1</v>
      </c>
      <c r="AN2" s="13">
        <f>AM2</f>
        <v>1</v>
      </c>
      <c r="AO2" s="36">
        <v>1</v>
      </c>
      <c r="AP2" s="13">
        <f>AO2</f>
        <v>1</v>
      </c>
      <c r="AQ2" s="36">
        <v>1</v>
      </c>
      <c r="AR2" s="13">
        <f>AQ2</f>
        <v>1</v>
      </c>
      <c r="AS2" s="9">
        <f>Z2+AK2+AM2+AO2+AQ2</f>
        <v>3524.0061107957617</v>
      </c>
      <c r="AT2" s="9">
        <f>Z2+AK2+AM2+AO2+AQ2</f>
        <v>3524.0061107957617</v>
      </c>
      <c r="AU2" s="45">
        <v>24000</v>
      </c>
      <c r="AV2" s="9">
        <f>AT2-AU2</f>
        <v>-20475.993889204237</v>
      </c>
      <c r="AW2" s="9">
        <f>AS2*AY2</f>
        <v>0</v>
      </c>
      <c r="AX2" s="43">
        <v>0.12</v>
      </c>
      <c r="AY2" s="12">
        <f t="shared" ref="AY2:AY28" si="3">IF(AV2&lt;$BC$2,0,IF(AV2&lt;$BC$3,$BB$2,IF(AV2&lt;$BC$4,$BB$3,IF(AV2&lt;$BC$5,$BB$4,IF(AV2&lt;$BC$6,$BB$5,IF(AV2&lt;$BC$7,$BB$6,IF(AV2&lt;$BC$8,$BB$7,$BB$8)))))))</f>
        <v>0</v>
      </c>
      <c r="AZ2" s="12">
        <f>IF(AV2&lt;$BD$2,0,IF(AV2&lt;$BD$3,$BB$2,IF(AV2&lt;$BD$4,$BB$3,IF(AV2&lt;$BD$5,$BB$4,IF(AV2&lt;$BD$6,$BB$5,IF(AV2&lt;$BD$7,$BB$6,IF(AV2&lt;$BD$8,$BB$7,$BB$8)))))))</f>
        <v>0</v>
      </c>
      <c r="BA2" s="14"/>
      <c r="BB2" s="12">
        <v>0.1</v>
      </c>
      <c r="BC2" s="15">
        <v>0</v>
      </c>
      <c r="BD2" s="15">
        <v>0</v>
      </c>
    </row>
    <row r="3" spans="1:56" ht="18.75" thickBot="1" x14ac:dyDescent="0.4">
      <c r="A3" s="5">
        <f>A2+FLOOR(365/$M$2,1)</f>
        <v>43115</v>
      </c>
      <c r="B3" s="37">
        <f>(B2+AC2)*(1-0.0885/M3)</f>
        <v>146055.70495788776</v>
      </c>
      <c r="C3" s="18">
        <f t="shared" ref="C3" si="4">IF(J3&lt;=0,0,B3/J3)</f>
        <v>0.12717386925629795</v>
      </c>
      <c r="D3" s="37">
        <f>D2*(1-0.0885/M3)</f>
        <v>146379.28752519801</v>
      </c>
      <c r="E3" s="18">
        <f t="shared" ref="E3" si="5">IF(J3&lt;=0,0,D3/J3)</f>
        <v>0.12745561961394813</v>
      </c>
      <c r="F3" s="37">
        <f>(F2-(AC2+AF2))*(1-0.0885/M3)</f>
        <v>829877.19172424218</v>
      </c>
      <c r="G3" s="18">
        <f t="shared" ref="G3" si="6">IF(J3&lt;=0,0,F3/J3)</f>
        <v>0.72259206519562147</v>
      </c>
      <c r="H3" s="38">
        <f t="shared" ref="H3" si="7">H2+AF2</f>
        <v>26160.421147916804</v>
      </c>
      <c r="I3" s="18">
        <f t="shared" ref="I3" si="8">IF(J3&lt;=0,0,H3/J3)</f>
        <v>2.2778445934132564E-2</v>
      </c>
      <c r="J3" s="17">
        <f>B3+D3+F3+H3</f>
        <v>1148472.6053552446</v>
      </c>
      <c r="K3" s="16">
        <f>IF(J3=0,0,J3-J2)</f>
        <v>-3833.2257222605404</v>
      </c>
      <c r="L3" s="18">
        <f>IF(J3=0,0,K3/J2)</f>
        <v>-3.3265697516050444E-3</v>
      </c>
      <c r="M3" s="19">
        <f>M2</f>
        <v>26</v>
      </c>
      <c r="N3" s="50">
        <v>5.0000000000000001E-3</v>
      </c>
      <c r="O3" s="29">
        <f t="shared" ref="O3:O28" si="9">IF(J3=0,0,X2*(1+N3))</f>
        <v>5.3678362121325492E-2</v>
      </c>
      <c r="P3" s="17">
        <f t="shared" si="0"/>
        <v>61648.128396680964</v>
      </c>
      <c r="Q3" s="20">
        <f>IF(P3=0,0,(P3-P2)/P2)</f>
        <v>1.6567973996368677E-3</v>
      </c>
      <c r="R3" s="42">
        <f>R2</f>
        <v>0.2</v>
      </c>
      <c r="S3" s="17">
        <f t="shared" ref="S3:U28" si="10">IF($P$2&gt;0,$P$2+$P$2*R3)</f>
        <v>73855.39065682776</v>
      </c>
      <c r="T3" s="42">
        <f t="shared" ref="T3:V18" si="11">T2</f>
        <v>-0.2</v>
      </c>
      <c r="U3" s="17">
        <f t="shared" si="10"/>
        <v>49236.92710455184</v>
      </c>
      <c r="V3" s="42">
        <f t="shared" si="11"/>
        <v>-0.1</v>
      </c>
      <c r="W3" s="42">
        <f t="shared" ref="W3:W28" si="12">W2</f>
        <v>0.1</v>
      </c>
      <c r="X3" s="29">
        <f t="shared" ref="X3:X28" si="13">IF(P3&gt;S3,O3+O3*V3,IF(P3&lt;U3,O3+O3*W3,O3))</f>
        <v>5.3678362121325492E-2</v>
      </c>
      <c r="Y3" s="21">
        <f t="shared" si="1"/>
        <v>2.0645523892817495E-3</v>
      </c>
      <c r="Z3" s="17">
        <f t="shared" si="2"/>
        <v>2371.0818614108061</v>
      </c>
      <c r="AA3" s="17">
        <f>AA2+Z3</f>
        <v>4738.2418183604141</v>
      </c>
      <c r="AB3" s="44">
        <v>0</v>
      </c>
      <c r="AC3" s="17">
        <f t="shared" ref="AC3:AC28" si="14">Z3*AB3</f>
        <v>0</v>
      </c>
      <c r="AD3" s="17">
        <f>AD2+AC3</f>
        <v>0</v>
      </c>
      <c r="AE3" s="44">
        <v>0.3</v>
      </c>
      <c r="AF3" s="17">
        <f t="shared" ref="AF3:AF28" si="15">Z3*AE3</f>
        <v>711.3245584232418</v>
      </c>
      <c r="AG3" s="17">
        <f>AG2+AF3</f>
        <v>1421.4725455081243</v>
      </c>
      <c r="AH3" s="44">
        <v>0.7</v>
      </c>
      <c r="AI3" s="17">
        <f t="shared" ref="AI3:AI28" si="16">Z3*AH3</f>
        <v>1659.7573029875641</v>
      </c>
      <c r="AJ3" s="17">
        <f>AJ2+AI3</f>
        <v>3316.7692728522898</v>
      </c>
      <c r="AK3" s="37">
        <f>AK2</f>
        <v>1153.8461538461538</v>
      </c>
      <c r="AL3" s="17">
        <f>AL2+AK3</f>
        <v>2307.6923076923076</v>
      </c>
      <c r="AM3" s="37">
        <v>1</v>
      </c>
      <c r="AN3" s="23">
        <f t="shared" ref="AN3:AN28" si="17">AN2+AM3</f>
        <v>2</v>
      </c>
      <c r="AO3" s="37">
        <v>1</v>
      </c>
      <c r="AP3" s="23">
        <f t="shared" ref="AP3:AP28" si="18">AP2+AO3</f>
        <v>2</v>
      </c>
      <c r="AQ3" s="37">
        <v>1</v>
      </c>
      <c r="AR3" s="23">
        <f t="shared" ref="AR3:AR28" si="19">AR2+AQ3</f>
        <v>2</v>
      </c>
      <c r="AS3" s="17">
        <f t="shared" ref="AS3:AS28" si="20">Z3+AK3+AM3+AO3+AQ3</f>
        <v>3527.92801525696</v>
      </c>
      <c r="AT3" s="17">
        <f t="shared" ref="AT3:AT28" si="21">AT2+Z3+AK3+AM3+AO3+AQ3</f>
        <v>7051.9341260527217</v>
      </c>
      <c r="AU3" s="46">
        <f>AU2</f>
        <v>24000</v>
      </c>
      <c r="AV3" s="17">
        <f t="shared" ref="AV3:AV28" si="22">AT3-AU3</f>
        <v>-16948.065873947278</v>
      </c>
      <c r="AW3" s="17">
        <f>AW2+(AS3*AY3)</f>
        <v>0</v>
      </c>
      <c r="AX3" s="44">
        <f>AX2</f>
        <v>0.12</v>
      </c>
      <c r="AY3" s="22">
        <f t="shared" si="3"/>
        <v>0</v>
      </c>
      <c r="AZ3" s="12">
        <f t="shared" ref="AZ3:AZ28" si="23">IF(AV3&lt;$BD$2,0,IF(AV3&lt;$BD$3,$BB$2,IF(AV3&lt;$BD$4,$BB$3,IF(AV3&lt;$BD$5,$BB$4,IF(AV3&lt;$BD$6,$BB$5,IF(AV3&lt;$BD$7,$BB$6,IF(AV3&lt;$BD$8,$BB$7,$BB$8)))))))</f>
        <v>0</v>
      </c>
      <c r="BB3" s="22">
        <v>0.12</v>
      </c>
      <c r="BC3" s="25">
        <v>19050</v>
      </c>
      <c r="BD3" s="25">
        <v>9525</v>
      </c>
    </row>
    <row r="4" spans="1:56" ht="18.75" thickBot="1" x14ac:dyDescent="0.4">
      <c r="A4" s="5">
        <f t="shared" ref="A4:A28" si="24">A3+FLOOR(365/$M$2,1)</f>
        <v>43129</v>
      </c>
      <c r="B4" s="37">
        <f t="shared" ref="B4:B28" si="25">(B3+AC3)*(1-0.0885/M4)</f>
        <v>145558.55380831956</v>
      </c>
      <c r="C4" s="18">
        <f t="shared" ref="C4:C28" si="26">IF(J4&lt;=0,0,B4/J4)</f>
        <v>0.12716370702357421</v>
      </c>
      <c r="D4" s="37">
        <f t="shared" ref="D4:D28" si="27">D3*(1-0.0885/M4)</f>
        <v>145881.03495035262</v>
      </c>
      <c r="E4" s="18">
        <f t="shared" ref="E4:E28" si="28">IF(J4&lt;=0,0,D4/J4)</f>
        <v>0.12744543486706544</v>
      </c>
      <c r="F4" s="37">
        <f t="shared" ref="F4:F28" si="29">(F3-(AC3+AF3))*(1-0.0885/M4)</f>
        <v>826343.51411796606</v>
      </c>
      <c r="G4" s="18">
        <f t="shared" ref="G4:G28" si="30">IF(J4&lt;=0,0,F4/J4)</f>
        <v>0.72191500795277741</v>
      </c>
      <c r="H4" s="38">
        <f t="shared" ref="H4:H28" si="31">H3+AF3</f>
        <v>26871.745706340047</v>
      </c>
      <c r="I4" s="18">
        <f t="shared" ref="I4:I28" si="32">IF(J4&lt;=0,0,H4/J4)</f>
        <v>2.3475850156582864E-2</v>
      </c>
      <c r="J4" s="17">
        <f>B4+D4+F4+H4</f>
        <v>1144654.8485829784</v>
      </c>
      <c r="K4" s="16">
        <f>IF(J4=0,0,J4-J3)</f>
        <v>-3817.7567722662352</v>
      </c>
      <c r="L4" s="18">
        <f t="shared" ref="L4:L28" si="33">IF(J4=0,0,K4/J3)</f>
        <v>-3.3242036026495643E-3</v>
      </c>
      <c r="M4" s="19">
        <f t="shared" ref="M4:M28" si="34">M3</f>
        <v>26</v>
      </c>
      <c r="N4" s="50">
        <v>5.0000000000000001E-3</v>
      </c>
      <c r="O4" s="29">
        <f t="shared" si="9"/>
        <v>5.3946753931932115E-2</v>
      </c>
      <c r="P4" s="17">
        <f t="shared" si="0"/>
        <v>61750.41345349895</v>
      </c>
      <c r="Q4" s="20">
        <f>IF(P4=0,0,(P4-P3)/P3)</f>
        <v>1.6591753793371035E-3</v>
      </c>
      <c r="R4" s="42">
        <f t="shared" ref="R4:R28" si="35">R3</f>
        <v>0.2</v>
      </c>
      <c r="S4" s="17">
        <f t="shared" si="10"/>
        <v>73855.39065682776</v>
      </c>
      <c r="T4" s="42">
        <f t="shared" si="11"/>
        <v>-0.2</v>
      </c>
      <c r="U4" s="17">
        <f t="shared" si="10"/>
        <v>49236.92710455184</v>
      </c>
      <c r="V4" s="42">
        <f t="shared" si="11"/>
        <v>-0.1</v>
      </c>
      <c r="W4" s="42">
        <f t="shared" si="12"/>
        <v>0.1</v>
      </c>
      <c r="X4" s="29">
        <f t="shared" si="13"/>
        <v>5.3946753931932115E-2</v>
      </c>
      <c r="Y4" s="21">
        <f t="shared" si="1"/>
        <v>2.0748751512281584E-3</v>
      </c>
      <c r="Z4" s="17">
        <f t="shared" si="2"/>
        <v>2375.0159020576521</v>
      </c>
      <c r="AA4" s="17">
        <f t="shared" ref="AA4:AL19" si="36">AA3+Z4</f>
        <v>7113.2577204180661</v>
      </c>
      <c r="AB4" s="44">
        <v>0</v>
      </c>
      <c r="AC4" s="17">
        <f t="shared" si="14"/>
        <v>0</v>
      </c>
      <c r="AD4" s="17">
        <f t="shared" si="36"/>
        <v>0</v>
      </c>
      <c r="AE4" s="44">
        <v>0.3</v>
      </c>
      <c r="AF4" s="17">
        <f t="shared" si="15"/>
        <v>712.50477061729555</v>
      </c>
      <c r="AG4" s="17">
        <f t="shared" si="36"/>
        <v>2133.9773161254197</v>
      </c>
      <c r="AH4" s="44">
        <v>0.7</v>
      </c>
      <c r="AI4" s="17">
        <f t="shared" si="16"/>
        <v>1662.5111314403564</v>
      </c>
      <c r="AJ4" s="17">
        <f t="shared" ref="AJ4:AJ28" si="37">AJ3+AI4</f>
        <v>4979.2804042926464</v>
      </c>
      <c r="AK4" s="37">
        <f t="shared" ref="AK4:AK28" si="38">AK3</f>
        <v>1153.8461538461538</v>
      </c>
      <c r="AL4" s="17">
        <f t="shared" si="36"/>
        <v>3461.5384615384614</v>
      </c>
      <c r="AM4" s="37"/>
      <c r="AN4" s="23">
        <f t="shared" si="17"/>
        <v>2</v>
      </c>
      <c r="AO4" s="37"/>
      <c r="AP4" s="23">
        <f t="shared" si="18"/>
        <v>2</v>
      </c>
      <c r="AQ4" s="37"/>
      <c r="AR4" s="23">
        <f t="shared" si="19"/>
        <v>2</v>
      </c>
      <c r="AS4" s="17">
        <f t="shared" si="20"/>
        <v>3528.8620559038059</v>
      </c>
      <c r="AT4" s="17">
        <f t="shared" si="21"/>
        <v>10580.796181956528</v>
      </c>
      <c r="AU4" s="46">
        <f t="shared" ref="AU4:AU28" si="39">AU3</f>
        <v>24000</v>
      </c>
      <c r="AV4" s="17">
        <f t="shared" si="22"/>
        <v>-13419.203818043472</v>
      </c>
      <c r="AW4" s="17">
        <f t="shared" ref="AW4:AW28" si="40">AW3+(AS4*AY4)</f>
        <v>0</v>
      </c>
      <c r="AX4" s="44">
        <f t="shared" ref="AX4:AX28" si="41">AX3</f>
        <v>0.12</v>
      </c>
      <c r="AY4" s="22">
        <f t="shared" si="3"/>
        <v>0</v>
      </c>
      <c r="AZ4" s="12">
        <f t="shared" si="23"/>
        <v>0</v>
      </c>
      <c r="BB4" s="22">
        <v>0.22</v>
      </c>
      <c r="BC4" s="25">
        <v>77400</v>
      </c>
      <c r="BD4" s="25">
        <v>38700</v>
      </c>
    </row>
    <row r="5" spans="1:56" ht="18.75" thickBot="1" x14ac:dyDescent="0.4">
      <c r="A5" s="5">
        <f t="shared" si="24"/>
        <v>43143</v>
      </c>
      <c r="B5" s="37">
        <f t="shared" si="25"/>
        <v>145063.09488477971</v>
      </c>
      <c r="C5" s="18">
        <f t="shared" si="26"/>
        <v>0.12715324140777942</v>
      </c>
      <c r="D5" s="37">
        <f t="shared" si="27"/>
        <v>145384.47835061778</v>
      </c>
      <c r="E5" s="18">
        <f t="shared" si="28"/>
        <v>0.12743494606497452</v>
      </c>
      <c r="F5" s="37">
        <f t="shared" si="29"/>
        <v>822820.68841168564</v>
      </c>
      <c r="G5" s="18">
        <f t="shared" si="30"/>
        <v>0.72123318278868254</v>
      </c>
      <c r="H5" s="38">
        <f t="shared" si="31"/>
        <v>27584.250476957342</v>
      </c>
      <c r="I5" s="18">
        <f t="shared" si="32"/>
        <v>2.4178629738563627E-2</v>
      </c>
      <c r="J5" s="17">
        <f t="shared" ref="J5:J28" si="42">B5+D5+F5+H5</f>
        <v>1140852.5121240404</v>
      </c>
      <c r="K5" s="16">
        <f>IF(J5=0,0,J5-J4)</f>
        <v>-3802.3364589379635</v>
      </c>
      <c r="L5" s="18">
        <f t="shared" si="33"/>
        <v>-3.3218192048415757E-3</v>
      </c>
      <c r="M5" s="19">
        <f t="shared" si="34"/>
        <v>26</v>
      </c>
      <c r="N5" s="50">
        <v>5.0000000000000001E-3</v>
      </c>
      <c r="O5" s="29">
        <f t="shared" si="9"/>
        <v>5.4216487701591771E-2</v>
      </c>
      <c r="P5" s="17">
        <f t="shared" si="0"/>
        <v>61853.016192903116</v>
      </c>
      <c r="Q5" s="20">
        <f t="shared" ref="Q5:Q28" si="43">IF(P5=0,0,(P5-P4)/P4)</f>
        <v>1.661571699134152E-3</v>
      </c>
      <c r="R5" s="42">
        <f t="shared" si="35"/>
        <v>0.2</v>
      </c>
      <c r="S5" s="17">
        <f t="shared" si="10"/>
        <v>73855.39065682776</v>
      </c>
      <c r="T5" s="42">
        <f t="shared" si="11"/>
        <v>-0.2</v>
      </c>
      <c r="U5" s="17">
        <f t="shared" si="10"/>
        <v>49236.92710455184</v>
      </c>
      <c r="V5" s="42">
        <f t="shared" si="11"/>
        <v>-0.1</v>
      </c>
      <c r="W5" s="42">
        <f t="shared" si="12"/>
        <v>0.1</v>
      </c>
      <c r="X5" s="29">
        <f t="shared" si="13"/>
        <v>5.4216487701591771E-2</v>
      </c>
      <c r="Y5" s="21">
        <f t="shared" si="1"/>
        <v>2.085249526984299E-3</v>
      </c>
      <c r="Z5" s="17">
        <f t="shared" si="2"/>
        <v>2378.9621612655046</v>
      </c>
      <c r="AA5" s="17">
        <f t="shared" si="36"/>
        <v>9492.2198816835698</v>
      </c>
      <c r="AB5" s="44">
        <v>0</v>
      </c>
      <c r="AC5" s="17">
        <f t="shared" si="14"/>
        <v>0</v>
      </c>
      <c r="AD5" s="17">
        <f t="shared" si="36"/>
        <v>0</v>
      </c>
      <c r="AE5" s="44">
        <v>0.3</v>
      </c>
      <c r="AF5" s="17">
        <f t="shared" si="15"/>
        <v>713.68864837965134</v>
      </c>
      <c r="AG5" s="17">
        <f t="shared" si="36"/>
        <v>2847.6659645050713</v>
      </c>
      <c r="AH5" s="44">
        <v>0.7</v>
      </c>
      <c r="AI5" s="17">
        <f t="shared" si="16"/>
        <v>1665.2735128858531</v>
      </c>
      <c r="AJ5" s="17">
        <f t="shared" si="37"/>
        <v>6644.5539171784994</v>
      </c>
      <c r="AK5" s="37">
        <f t="shared" si="38"/>
        <v>1153.8461538461538</v>
      </c>
      <c r="AL5" s="17">
        <f t="shared" si="36"/>
        <v>4615.3846153846152</v>
      </c>
      <c r="AM5" s="37"/>
      <c r="AN5" s="23">
        <f t="shared" si="17"/>
        <v>2</v>
      </c>
      <c r="AO5" s="37"/>
      <c r="AP5" s="23">
        <f t="shared" si="18"/>
        <v>2</v>
      </c>
      <c r="AQ5" s="37"/>
      <c r="AR5" s="23">
        <f t="shared" si="19"/>
        <v>2</v>
      </c>
      <c r="AS5" s="17">
        <f t="shared" si="20"/>
        <v>3532.8083151116584</v>
      </c>
      <c r="AT5" s="17">
        <f t="shared" si="21"/>
        <v>14113.604497068187</v>
      </c>
      <c r="AU5" s="46">
        <f t="shared" si="39"/>
        <v>24000</v>
      </c>
      <c r="AV5" s="17">
        <f t="shared" si="22"/>
        <v>-9886.3955029318131</v>
      </c>
      <c r="AW5" s="17">
        <f t="shared" si="40"/>
        <v>0</v>
      </c>
      <c r="AX5" s="44">
        <f t="shared" si="41"/>
        <v>0.12</v>
      </c>
      <c r="AY5" s="22">
        <f t="shared" si="3"/>
        <v>0</v>
      </c>
      <c r="AZ5" s="12">
        <f t="shared" si="23"/>
        <v>0</v>
      </c>
      <c r="BB5" s="22">
        <v>0.24</v>
      </c>
      <c r="BC5" s="25">
        <v>165000</v>
      </c>
      <c r="BD5" s="25">
        <v>82500</v>
      </c>
    </row>
    <row r="6" spans="1:56" ht="18.75" thickBot="1" x14ac:dyDescent="0.4">
      <c r="A6" s="5">
        <f t="shared" si="24"/>
        <v>43157</v>
      </c>
      <c r="B6" s="37">
        <f t="shared" si="25"/>
        <v>144569.32242719113</v>
      </c>
      <c r="C6" s="18">
        <f t="shared" si="26"/>
        <v>0.12714247014389851</v>
      </c>
      <c r="D6" s="37">
        <f t="shared" si="27"/>
        <v>144889.61195315511</v>
      </c>
      <c r="E6" s="18">
        <f t="shared" si="28"/>
        <v>0.1274241509376422</v>
      </c>
      <c r="F6" s="37">
        <f t="shared" si="29"/>
        <v>819308.67401411163</v>
      </c>
      <c r="G6" s="18">
        <f t="shared" si="30"/>
        <v>0.72054656462084787</v>
      </c>
      <c r="H6" s="38">
        <f t="shared" si="31"/>
        <v>28297.939125336994</v>
      </c>
      <c r="I6" s="18">
        <f t="shared" si="32"/>
        <v>2.4886814297611425E-2</v>
      </c>
      <c r="J6" s="17">
        <f t="shared" si="42"/>
        <v>1137065.5475197949</v>
      </c>
      <c r="K6" s="16">
        <f t="shared" ref="K6:K28" si="44">IF(J6=0,0,J6-J5)</f>
        <v>-3786.9646042454988</v>
      </c>
      <c r="L6" s="18">
        <f t="shared" si="33"/>
        <v>-3.3194164574305261E-3</v>
      </c>
      <c r="M6" s="19">
        <f t="shared" si="34"/>
        <v>26</v>
      </c>
      <c r="N6" s="50">
        <v>5.0000000000000001E-3</v>
      </c>
      <c r="O6" s="29">
        <f t="shared" si="9"/>
        <v>5.4487570140099723E-2</v>
      </c>
      <c r="P6" s="17">
        <f t="shared" si="0"/>
        <v>61955.938774375718</v>
      </c>
      <c r="Q6" s="20">
        <f t="shared" si="43"/>
        <v>1.6639864602821192E-3</v>
      </c>
      <c r="R6" s="42">
        <f t="shared" si="35"/>
        <v>0.2</v>
      </c>
      <c r="S6" s="17">
        <f t="shared" si="10"/>
        <v>73855.39065682776</v>
      </c>
      <c r="T6" s="42">
        <f t="shared" si="11"/>
        <v>-0.2</v>
      </c>
      <c r="U6" s="17">
        <f t="shared" si="10"/>
        <v>49236.92710455184</v>
      </c>
      <c r="V6" s="42">
        <f t="shared" si="11"/>
        <v>-0.1</v>
      </c>
      <c r="W6" s="42">
        <f t="shared" si="12"/>
        <v>0.1</v>
      </c>
      <c r="X6" s="29">
        <f t="shared" si="13"/>
        <v>5.4487570140099723E-2</v>
      </c>
      <c r="Y6" s="21">
        <f t="shared" si="1"/>
        <v>2.0956757746192203E-3</v>
      </c>
      <c r="Z6" s="17">
        <f t="shared" si="2"/>
        <v>2382.920722091374</v>
      </c>
      <c r="AA6" s="17">
        <f t="shared" si="36"/>
        <v>11875.140603774944</v>
      </c>
      <c r="AB6" s="44">
        <v>0</v>
      </c>
      <c r="AC6" s="17">
        <f t="shared" si="14"/>
        <v>0</v>
      </c>
      <c r="AD6" s="17">
        <f t="shared" si="36"/>
        <v>0</v>
      </c>
      <c r="AE6" s="44">
        <v>0.3</v>
      </c>
      <c r="AF6" s="17">
        <f t="shared" si="15"/>
        <v>714.87621662741219</v>
      </c>
      <c r="AG6" s="17">
        <f t="shared" si="36"/>
        <v>3562.5421811324836</v>
      </c>
      <c r="AH6" s="44">
        <v>0.7</v>
      </c>
      <c r="AI6" s="17">
        <f t="shared" si="16"/>
        <v>1668.0445054639617</v>
      </c>
      <c r="AJ6" s="17">
        <f t="shared" si="37"/>
        <v>8312.5984226424607</v>
      </c>
      <c r="AK6" s="37">
        <f t="shared" si="38"/>
        <v>1153.8461538461538</v>
      </c>
      <c r="AL6" s="17">
        <f t="shared" si="36"/>
        <v>5769.2307692307695</v>
      </c>
      <c r="AM6" s="37"/>
      <c r="AN6" s="23">
        <f t="shared" si="17"/>
        <v>2</v>
      </c>
      <c r="AO6" s="37"/>
      <c r="AP6" s="23">
        <f t="shared" si="18"/>
        <v>2</v>
      </c>
      <c r="AQ6" s="37"/>
      <c r="AR6" s="23">
        <f t="shared" si="19"/>
        <v>2</v>
      </c>
      <c r="AS6" s="17">
        <f t="shared" si="20"/>
        <v>3536.7668759375279</v>
      </c>
      <c r="AT6" s="17">
        <f t="shared" si="21"/>
        <v>17650.371373005713</v>
      </c>
      <c r="AU6" s="46">
        <f t="shared" si="39"/>
        <v>24000</v>
      </c>
      <c r="AV6" s="17">
        <f t="shared" si="22"/>
        <v>-6349.6286269942866</v>
      </c>
      <c r="AW6" s="17">
        <f>AW5+(AS6*AY6)</f>
        <v>0</v>
      </c>
      <c r="AX6" s="44">
        <f t="shared" si="41"/>
        <v>0.12</v>
      </c>
      <c r="AY6" s="22">
        <f t="shared" si="3"/>
        <v>0</v>
      </c>
      <c r="AZ6" s="12">
        <f t="shared" si="23"/>
        <v>0</v>
      </c>
      <c r="BB6" s="22">
        <v>0.32</v>
      </c>
      <c r="BC6" s="25">
        <v>315000</v>
      </c>
      <c r="BD6" s="25">
        <v>157500</v>
      </c>
    </row>
    <row r="7" spans="1:56" ht="18.75" thickBot="1" x14ac:dyDescent="0.4">
      <c r="A7" s="5">
        <f t="shared" si="24"/>
        <v>43171</v>
      </c>
      <c r="B7" s="37">
        <f t="shared" si="25"/>
        <v>144077.23069508318</v>
      </c>
      <c r="C7" s="18">
        <f t="shared" si="26"/>
        <v>0.1271313909570265</v>
      </c>
      <c r="D7" s="37">
        <f t="shared" si="27"/>
        <v>144396.43000477611</v>
      </c>
      <c r="E7" s="18">
        <f t="shared" si="28"/>
        <v>0.1274130472051235</v>
      </c>
      <c r="F7" s="37">
        <f t="shared" si="29"/>
        <v>815807.43044728891</v>
      </c>
      <c r="G7" s="18">
        <f t="shared" si="30"/>
        <v>0.71985512829114151</v>
      </c>
      <c r="H7" s="38">
        <f t="shared" si="31"/>
        <v>29012.815341964408</v>
      </c>
      <c r="I7" s="18">
        <f t="shared" si="32"/>
        <v>2.5600433546708684E-2</v>
      </c>
      <c r="J7" s="17">
        <f t="shared" si="42"/>
        <v>1133293.9064891124</v>
      </c>
      <c r="K7" s="16">
        <f t="shared" si="44"/>
        <v>-3771.6410306824837</v>
      </c>
      <c r="L7" s="18">
        <f t="shared" si="33"/>
        <v>-3.3169952593404242E-3</v>
      </c>
      <c r="M7" s="19">
        <f t="shared" si="34"/>
        <v>26</v>
      </c>
      <c r="N7" s="50">
        <v>2E-3</v>
      </c>
      <c r="O7" s="29">
        <f t="shared" si="9"/>
        <v>5.4596545280379924E-2</v>
      </c>
      <c r="P7" s="17">
        <f t="shared" si="0"/>
        <v>61873.932081611478</v>
      </c>
      <c r="Q7" s="20">
        <f t="shared" si="43"/>
        <v>-1.3236292498590497E-3</v>
      </c>
      <c r="R7" s="42">
        <f t="shared" si="35"/>
        <v>0.2</v>
      </c>
      <c r="S7" s="17">
        <f t="shared" si="10"/>
        <v>73855.39065682776</v>
      </c>
      <c r="T7" s="42">
        <f t="shared" si="11"/>
        <v>-0.2</v>
      </c>
      <c r="U7" s="17">
        <f t="shared" si="10"/>
        <v>49236.92710455184</v>
      </c>
      <c r="V7" s="42">
        <f t="shared" si="11"/>
        <v>-0.1</v>
      </c>
      <c r="W7" s="42">
        <f t="shared" si="12"/>
        <v>0.1</v>
      </c>
      <c r="X7" s="29">
        <f t="shared" si="13"/>
        <v>5.4596545280379924E-2</v>
      </c>
      <c r="Y7" s="21">
        <f t="shared" si="1"/>
        <v>2.0998671261684585E-3</v>
      </c>
      <c r="Z7" s="17">
        <f t="shared" si="2"/>
        <v>2379.7666185235184</v>
      </c>
      <c r="AA7" s="17">
        <f t="shared" si="36"/>
        <v>14254.907222298461</v>
      </c>
      <c r="AB7" s="44">
        <v>0</v>
      </c>
      <c r="AC7" s="17">
        <f t="shared" si="14"/>
        <v>0</v>
      </c>
      <c r="AD7" s="17">
        <f t="shared" si="36"/>
        <v>0</v>
      </c>
      <c r="AE7" s="44">
        <v>0.3</v>
      </c>
      <c r="AF7" s="17">
        <f t="shared" si="15"/>
        <v>713.92998555705549</v>
      </c>
      <c r="AG7" s="17">
        <f t="shared" si="36"/>
        <v>4276.4721666895393</v>
      </c>
      <c r="AH7" s="44">
        <v>0.7</v>
      </c>
      <c r="AI7" s="17">
        <f t="shared" si="16"/>
        <v>1665.8366329664627</v>
      </c>
      <c r="AJ7" s="17">
        <f t="shared" si="37"/>
        <v>9978.435055608923</v>
      </c>
      <c r="AK7" s="37">
        <f t="shared" si="38"/>
        <v>1153.8461538461538</v>
      </c>
      <c r="AL7" s="17">
        <f t="shared" si="36"/>
        <v>6923.0769230769238</v>
      </c>
      <c r="AM7" s="37"/>
      <c r="AN7" s="23">
        <f t="shared" si="17"/>
        <v>2</v>
      </c>
      <c r="AO7" s="37"/>
      <c r="AP7" s="23">
        <f t="shared" si="18"/>
        <v>2</v>
      </c>
      <c r="AQ7" s="37"/>
      <c r="AR7" s="23">
        <f t="shared" si="19"/>
        <v>2</v>
      </c>
      <c r="AS7" s="17">
        <f t="shared" si="20"/>
        <v>3533.6127723696723</v>
      </c>
      <c r="AT7" s="17">
        <f t="shared" si="21"/>
        <v>21183.984145375383</v>
      </c>
      <c r="AU7" s="46">
        <f t="shared" si="39"/>
        <v>24000</v>
      </c>
      <c r="AV7" s="17">
        <f t="shared" si="22"/>
        <v>-2816.0158546246166</v>
      </c>
      <c r="AW7" s="17">
        <f t="shared" si="40"/>
        <v>0</v>
      </c>
      <c r="AX7" s="44">
        <f t="shared" si="41"/>
        <v>0.12</v>
      </c>
      <c r="AY7" s="22">
        <f t="shared" si="3"/>
        <v>0</v>
      </c>
      <c r="AZ7" s="12">
        <f t="shared" si="23"/>
        <v>0</v>
      </c>
      <c r="BB7" s="22">
        <v>0.35</v>
      </c>
      <c r="BC7" s="25">
        <v>400000</v>
      </c>
      <c r="BD7" s="25">
        <v>200000</v>
      </c>
    </row>
    <row r="8" spans="1:56" ht="18.75" thickBot="1" x14ac:dyDescent="0.4">
      <c r="A8" s="5">
        <f t="shared" si="24"/>
        <v>43185</v>
      </c>
      <c r="B8" s="37">
        <f t="shared" si="25"/>
        <v>143586.81396752491</v>
      </c>
      <c r="C8" s="18">
        <f t="shared" si="26"/>
        <v>0.12712000238121551</v>
      </c>
      <c r="D8" s="37">
        <f t="shared" si="27"/>
        <v>143904.92677187524</v>
      </c>
      <c r="E8" s="18">
        <f t="shared" si="28"/>
        <v>0.12740163339822277</v>
      </c>
      <c r="F8" s="37">
        <f t="shared" si="29"/>
        <v>812319.04758516012</v>
      </c>
      <c r="G8" s="18">
        <f t="shared" si="30"/>
        <v>0.71916073913783674</v>
      </c>
      <c r="H8" s="38">
        <f t="shared" si="31"/>
        <v>29726.745327521465</v>
      </c>
      <c r="I8" s="18">
        <f t="shared" si="32"/>
        <v>2.6317625082725095E-2</v>
      </c>
      <c r="J8" s="17">
        <f t="shared" si="42"/>
        <v>1129537.5336520816</v>
      </c>
      <c r="K8" s="16">
        <f t="shared" si="44"/>
        <v>-3756.3728370307945</v>
      </c>
      <c r="L8" s="18">
        <f t="shared" si="33"/>
        <v>-3.3145619291890917E-3</v>
      </c>
      <c r="M8" s="19">
        <f t="shared" si="34"/>
        <v>26</v>
      </c>
      <c r="N8" s="50">
        <v>2E-3</v>
      </c>
      <c r="O8" s="29">
        <f t="shared" si="9"/>
        <v>5.4705738370940685E-2</v>
      </c>
      <c r="P8" s="17">
        <f t="shared" si="0"/>
        <v>61792.184796128386</v>
      </c>
      <c r="Q8" s="20">
        <f t="shared" si="43"/>
        <v>-1.3211910530474735E-3</v>
      </c>
      <c r="R8" s="42">
        <f t="shared" si="35"/>
        <v>0.2</v>
      </c>
      <c r="S8" s="17">
        <f t="shared" si="10"/>
        <v>73855.39065682776</v>
      </c>
      <c r="T8" s="42">
        <f t="shared" si="11"/>
        <v>-0.2</v>
      </c>
      <c r="U8" s="17">
        <f t="shared" si="10"/>
        <v>49236.92710455184</v>
      </c>
      <c r="V8" s="42">
        <f t="shared" si="11"/>
        <v>-0.1</v>
      </c>
      <c r="W8" s="42">
        <f t="shared" si="12"/>
        <v>0.1</v>
      </c>
      <c r="X8" s="29">
        <f t="shared" si="13"/>
        <v>5.4705738370940685E-2</v>
      </c>
      <c r="Y8" s="21">
        <f t="shared" si="1"/>
        <v>2.1040668604207957E-3</v>
      </c>
      <c r="Z8" s="17">
        <f t="shared" si="2"/>
        <v>2376.6224921587841</v>
      </c>
      <c r="AA8" s="17">
        <f t="shared" si="36"/>
        <v>16631.529714457247</v>
      </c>
      <c r="AB8" s="44">
        <v>0</v>
      </c>
      <c r="AC8" s="17">
        <f t="shared" si="14"/>
        <v>0</v>
      </c>
      <c r="AD8" s="17">
        <f t="shared" si="36"/>
        <v>0</v>
      </c>
      <c r="AE8" s="44">
        <v>0.3</v>
      </c>
      <c r="AF8" s="17">
        <f t="shared" si="15"/>
        <v>712.98674764763518</v>
      </c>
      <c r="AG8" s="17">
        <f t="shared" si="36"/>
        <v>4989.4589143371741</v>
      </c>
      <c r="AH8" s="44">
        <v>0.7</v>
      </c>
      <c r="AI8" s="17">
        <f t="shared" si="16"/>
        <v>1663.6357445111487</v>
      </c>
      <c r="AJ8" s="17">
        <f t="shared" si="37"/>
        <v>11642.070800120071</v>
      </c>
      <c r="AK8" s="37">
        <f t="shared" si="38"/>
        <v>1153.8461538461538</v>
      </c>
      <c r="AL8" s="17">
        <f t="shared" si="36"/>
        <v>8076.923076923078</v>
      </c>
      <c r="AM8" s="37"/>
      <c r="AN8" s="23">
        <f t="shared" si="17"/>
        <v>2</v>
      </c>
      <c r="AO8" s="37"/>
      <c r="AP8" s="23">
        <f t="shared" si="18"/>
        <v>2</v>
      </c>
      <c r="AQ8" s="37"/>
      <c r="AR8" s="23">
        <f t="shared" si="19"/>
        <v>2</v>
      </c>
      <c r="AS8" s="17">
        <f t="shared" si="20"/>
        <v>3530.4686460049379</v>
      </c>
      <c r="AT8" s="17">
        <f t="shared" si="21"/>
        <v>24714.452791380321</v>
      </c>
      <c r="AU8" s="46">
        <f t="shared" si="39"/>
        <v>24000</v>
      </c>
      <c r="AV8" s="17">
        <f t="shared" si="22"/>
        <v>714.45279138032129</v>
      </c>
      <c r="AW8" s="17">
        <f t="shared" si="40"/>
        <v>353.04686460049379</v>
      </c>
      <c r="AX8" s="44">
        <f t="shared" si="41"/>
        <v>0.12</v>
      </c>
      <c r="AY8" s="22">
        <f t="shared" si="3"/>
        <v>0.1</v>
      </c>
      <c r="AZ8" s="12">
        <f t="shared" si="23"/>
        <v>0.1</v>
      </c>
      <c r="BB8" s="22">
        <v>0.37</v>
      </c>
      <c r="BC8" s="25">
        <v>600000</v>
      </c>
      <c r="BD8" s="25">
        <v>500000</v>
      </c>
    </row>
    <row r="9" spans="1:56" ht="18.75" thickBot="1" x14ac:dyDescent="0.4">
      <c r="A9" s="5">
        <f t="shared" si="24"/>
        <v>43199</v>
      </c>
      <c r="B9" s="37">
        <f t="shared" si="25"/>
        <v>143098.06654305852</v>
      </c>
      <c r="C9" s="18">
        <f t="shared" si="26"/>
        <v>0.12710830294874159</v>
      </c>
      <c r="D9" s="37">
        <f t="shared" si="27"/>
        <v>143415.09654036327</v>
      </c>
      <c r="E9" s="18">
        <f t="shared" si="28"/>
        <v>0.1273899080459644</v>
      </c>
      <c r="F9" s="37">
        <f t="shared" si="29"/>
        <v>808843.47866889252</v>
      </c>
      <c r="G9" s="18">
        <f t="shared" si="30"/>
        <v>0.71846338953729771</v>
      </c>
      <c r="H9" s="38">
        <f t="shared" si="31"/>
        <v>30439.7320751691</v>
      </c>
      <c r="I9" s="18">
        <f t="shared" si="32"/>
        <v>2.7038399467996216E-2</v>
      </c>
      <c r="J9" s="17">
        <f t="shared" si="42"/>
        <v>1125796.3738274835</v>
      </c>
      <c r="K9" s="16">
        <f t="shared" si="44"/>
        <v>-3741.1598245981149</v>
      </c>
      <c r="L9" s="18">
        <f t="shared" si="33"/>
        <v>-3.3121164309626748E-3</v>
      </c>
      <c r="M9" s="19">
        <f t="shared" si="34"/>
        <v>26</v>
      </c>
      <c r="N9" s="50">
        <v>4.0000000000000001E-3</v>
      </c>
      <c r="O9" s="29">
        <f t="shared" si="9"/>
        <v>5.4924561324424449E-2</v>
      </c>
      <c r="P9" s="17">
        <f t="shared" si="0"/>
        <v>61833.871973102287</v>
      </c>
      <c r="Q9" s="20">
        <f t="shared" si="43"/>
        <v>6.7463510331346719E-4</v>
      </c>
      <c r="R9" s="42">
        <f t="shared" si="35"/>
        <v>0.2</v>
      </c>
      <c r="S9" s="17">
        <f t="shared" si="10"/>
        <v>73855.39065682776</v>
      </c>
      <c r="T9" s="42">
        <f t="shared" si="11"/>
        <v>-0.2</v>
      </c>
      <c r="U9" s="17">
        <f t="shared" si="10"/>
        <v>49236.92710455184</v>
      </c>
      <c r="V9" s="42">
        <f t="shared" si="11"/>
        <v>-0.1</v>
      </c>
      <c r="W9" s="42">
        <f t="shared" si="12"/>
        <v>0.1</v>
      </c>
      <c r="X9" s="29">
        <f t="shared" si="13"/>
        <v>5.4924561324424449E-2</v>
      </c>
      <c r="Y9" s="21">
        <f t="shared" si="1"/>
        <v>2.1124831278624789E-3</v>
      </c>
      <c r="Z9" s="17">
        <f t="shared" si="2"/>
        <v>2378.2258451193188</v>
      </c>
      <c r="AA9" s="17">
        <f t="shared" si="36"/>
        <v>19009.755559576566</v>
      </c>
      <c r="AB9" s="44">
        <v>0</v>
      </c>
      <c r="AC9" s="17">
        <f t="shared" si="14"/>
        <v>0</v>
      </c>
      <c r="AD9" s="17">
        <f t="shared" si="36"/>
        <v>0</v>
      </c>
      <c r="AE9" s="44">
        <v>0.3</v>
      </c>
      <c r="AF9" s="17">
        <f t="shared" si="15"/>
        <v>713.46775353579562</v>
      </c>
      <c r="AG9" s="17">
        <f t="shared" si="36"/>
        <v>5702.92666787297</v>
      </c>
      <c r="AH9" s="44">
        <v>0.7</v>
      </c>
      <c r="AI9" s="17">
        <f t="shared" si="16"/>
        <v>1664.7580915835231</v>
      </c>
      <c r="AJ9" s="17">
        <f t="shared" si="37"/>
        <v>13306.828891703593</v>
      </c>
      <c r="AK9" s="37">
        <f t="shared" si="38"/>
        <v>1153.8461538461538</v>
      </c>
      <c r="AL9" s="17">
        <f t="shared" si="36"/>
        <v>9230.7692307692323</v>
      </c>
      <c r="AM9" s="37"/>
      <c r="AN9" s="23">
        <f t="shared" si="17"/>
        <v>2</v>
      </c>
      <c r="AO9" s="37"/>
      <c r="AP9" s="23">
        <f t="shared" si="18"/>
        <v>2</v>
      </c>
      <c r="AQ9" s="37"/>
      <c r="AR9" s="23">
        <f t="shared" si="19"/>
        <v>2</v>
      </c>
      <c r="AS9" s="17">
        <f t="shared" si="20"/>
        <v>3532.0719989654726</v>
      </c>
      <c r="AT9" s="17">
        <f t="shared" si="21"/>
        <v>28246.524790345793</v>
      </c>
      <c r="AU9" s="46">
        <f t="shared" si="39"/>
        <v>24000</v>
      </c>
      <c r="AV9" s="17">
        <f t="shared" si="22"/>
        <v>4246.524790345793</v>
      </c>
      <c r="AW9" s="17">
        <f t="shared" si="40"/>
        <v>706.2540644970411</v>
      </c>
      <c r="AX9" s="44">
        <f t="shared" si="41"/>
        <v>0.12</v>
      </c>
      <c r="AY9" s="22">
        <f t="shared" si="3"/>
        <v>0.1</v>
      </c>
      <c r="AZ9" s="12">
        <f t="shared" si="23"/>
        <v>0.1</v>
      </c>
    </row>
    <row r="10" spans="1:56" ht="18.75" thickBot="1" x14ac:dyDescent="0.4">
      <c r="A10" s="5">
        <f t="shared" si="24"/>
        <v>43213</v>
      </c>
      <c r="B10" s="37">
        <f t="shared" si="25"/>
        <v>142610.98273963312</v>
      </c>
      <c r="C10" s="18">
        <f t="shared" si="26"/>
        <v>0.12709629064218383</v>
      </c>
      <c r="D10" s="37">
        <f t="shared" si="27"/>
        <v>142926.93361560089</v>
      </c>
      <c r="E10" s="18">
        <f t="shared" si="28"/>
        <v>0.12737786912645785</v>
      </c>
      <c r="F10" s="37">
        <f t="shared" si="29"/>
        <v>805379.26068589475</v>
      </c>
      <c r="G10" s="18">
        <f t="shared" si="30"/>
        <v>0.71776180646761989</v>
      </c>
      <c r="H10" s="38">
        <f t="shared" si="31"/>
        <v>31153.199828704895</v>
      </c>
      <c r="I10" s="18">
        <f t="shared" si="32"/>
        <v>2.7764033763738549E-2</v>
      </c>
      <c r="J10" s="17">
        <f t="shared" si="42"/>
        <v>1122070.3768698336</v>
      </c>
      <c r="K10" s="16">
        <f t="shared" si="44"/>
        <v>-3725.9969576499425</v>
      </c>
      <c r="L10" s="18">
        <f t="shared" si="33"/>
        <v>-3.3096544315401326E-3</v>
      </c>
      <c r="M10" s="19">
        <f t="shared" si="34"/>
        <v>26</v>
      </c>
      <c r="N10" s="50">
        <v>4.0000000000000001E-3</v>
      </c>
      <c r="O10" s="29">
        <f t="shared" si="9"/>
        <v>5.5144259569722145E-2</v>
      </c>
      <c r="P10" s="17">
        <f t="shared" si="0"/>
        <v>61875.740117606052</v>
      </c>
      <c r="Q10" s="20">
        <f t="shared" si="43"/>
        <v>6.7710695073370359E-4</v>
      </c>
      <c r="R10" s="42">
        <f t="shared" si="35"/>
        <v>0.2</v>
      </c>
      <c r="S10" s="17">
        <f t="shared" si="10"/>
        <v>73855.39065682776</v>
      </c>
      <c r="T10" s="42">
        <f t="shared" si="11"/>
        <v>-0.2</v>
      </c>
      <c r="U10" s="17">
        <f t="shared" si="10"/>
        <v>49236.92710455184</v>
      </c>
      <c r="V10" s="42">
        <f t="shared" si="11"/>
        <v>-0.1</v>
      </c>
      <c r="W10" s="42">
        <f t="shared" si="12"/>
        <v>0.1</v>
      </c>
      <c r="X10" s="29">
        <f t="shared" si="13"/>
        <v>5.5144259569722145E-2</v>
      </c>
      <c r="Y10" s="21">
        <f t="shared" si="1"/>
        <v>2.1209330603739287E-3</v>
      </c>
      <c r="Z10" s="17">
        <f t="shared" si="2"/>
        <v>2379.8361583694636</v>
      </c>
      <c r="AA10" s="17">
        <f t="shared" si="36"/>
        <v>21389.59171794603</v>
      </c>
      <c r="AB10" s="44">
        <v>0</v>
      </c>
      <c r="AC10" s="17">
        <f t="shared" si="14"/>
        <v>0</v>
      </c>
      <c r="AD10" s="17">
        <f t="shared" si="36"/>
        <v>0</v>
      </c>
      <c r="AE10" s="44">
        <v>0.3</v>
      </c>
      <c r="AF10" s="17">
        <f t="shared" si="15"/>
        <v>713.95084751083903</v>
      </c>
      <c r="AG10" s="17">
        <f t="shared" si="36"/>
        <v>6416.8775153838087</v>
      </c>
      <c r="AH10" s="44">
        <v>0.7</v>
      </c>
      <c r="AI10" s="17">
        <f t="shared" si="16"/>
        <v>1665.8853108586245</v>
      </c>
      <c r="AJ10" s="17">
        <f t="shared" si="37"/>
        <v>14972.714202562218</v>
      </c>
      <c r="AK10" s="37">
        <f t="shared" si="38"/>
        <v>1153.8461538461538</v>
      </c>
      <c r="AL10" s="17">
        <f t="shared" si="36"/>
        <v>10384.615384615387</v>
      </c>
      <c r="AM10" s="37"/>
      <c r="AN10" s="23">
        <f t="shared" si="17"/>
        <v>2</v>
      </c>
      <c r="AO10" s="37"/>
      <c r="AP10" s="23">
        <f t="shared" si="18"/>
        <v>2</v>
      </c>
      <c r="AQ10" s="37"/>
      <c r="AR10" s="23">
        <f t="shared" si="19"/>
        <v>2</v>
      </c>
      <c r="AS10" s="17">
        <f t="shared" si="20"/>
        <v>3533.6823122156175</v>
      </c>
      <c r="AT10" s="17">
        <f t="shared" si="21"/>
        <v>31780.20710256141</v>
      </c>
      <c r="AU10" s="46">
        <f t="shared" si="39"/>
        <v>24000</v>
      </c>
      <c r="AV10" s="17">
        <f t="shared" si="22"/>
        <v>7780.2071025614096</v>
      </c>
      <c r="AW10" s="17">
        <f t="shared" si="40"/>
        <v>1059.6222957186028</v>
      </c>
      <c r="AX10" s="44">
        <f t="shared" si="41"/>
        <v>0.12</v>
      </c>
      <c r="AY10" s="22">
        <f t="shared" si="3"/>
        <v>0.1</v>
      </c>
      <c r="AZ10" s="12">
        <f t="shared" si="23"/>
        <v>0.1</v>
      </c>
    </row>
    <row r="11" spans="1:56" ht="18.75" thickBot="1" x14ac:dyDescent="0.4">
      <c r="A11" s="5">
        <f t="shared" si="24"/>
        <v>43227</v>
      </c>
      <c r="B11" s="37">
        <f t="shared" si="25"/>
        <v>142125.5568945386</v>
      </c>
      <c r="C11" s="18">
        <f t="shared" si="26"/>
        <v>0.12708396343759659</v>
      </c>
      <c r="D11" s="37">
        <f t="shared" si="27"/>
        <v>142440.4323223324</v>
      </c>
      <c r="E11" s="18">
        <f t="shared" si="28"/>
        <v>0.12736551461127352</v>
      </c>
      <c r="F11" s="37">
        <f t="shared" si="29"/>
        <v>801926.35291835712</v>
      </c>
      <c r="G11" s="18">
        <f t="shared" si="30"/>
        <v>0.71705597178094715</v>
      </c>
      <c r="H11" s="38">
        <f t="shared" si="31"/>
        <v>31867.150676215733</v>
      </c>
      <c r="I11" s="18">
        <f t="shared" si="32"/>
        <v>2.8494550170182667E-2</v>
      </c>
      <c r="J11" s="17">
        <f t="shared" si="42"/>
        <v>1118359.492811444</v>
      </c>
      <c r="K11" s="16">
        <f t="shared" si="44"/>
        <v>-3710.8840583895799</v>
      </c>
      <c r="L11" s="18">
        <f t="shared" si="33"/>
        <v>-3.3071758553519528E-3</v>
      </c>
      <c r="M11" s="19">
        <f t="shared" si="34"/>
        <v>26</v>
      </c>
      <c r="N11" s="50">
        <v>4.0000000000000001E-3</v>
      </c>
      <c r="O11" s="29">
        <f t="shared" si="9"/>
        <v>5.5364836608001032E-2</v>
      </c>
      <c r="P11" s="17">
        <f t="shared" si="0"/>
        <v>61917.7905885125</v>
      </c>
      <c r="Q11" s="20">
        <f t="shared" si="43"/>
        <v>6.7959544122661792E-4</v>
      </c>
      <c r="R11" s="42">
        <f t="shared" si="35"/>
        <v>0.2</v>
      </c>
      <c r="S11" s="17">
        <f t="shared" si="10"/>
        <v>73855.39065682776</v>
      </c>
      <c r="T11" s="42">
        <f t="shared" si="11"/>
        <v>-0.2</v>
      </c>
      <c r="U11" s="17">
        <f t="shared" si="10"/>
        <v>49236.92710455184</v>
      </c>
      <c r="V11" s="42">
        <f t="shared" si="11"/>
        <v>-0.1</v>
      </c>
      <c r="W11" s="42">
        <f t="shared" si="12"/>
        <v>0.1</v>
      </c>
      <c r="X11" s="29">
        <f t="shared" si="13"/>
        <v>5.5364836608001032E-2</v>
      </c>
      <c r="Y11" s="21">
        <f t="shared" si="1"/>
        <v>2.1294167926154241E-3</v>
      </c>
      <c r="Z11" s="17">
        <f t="shared" si="2"/>
        <v>2381.4534841735576</v>
      </c>
      <c r="AA11" s="17">
        <f t="shared" si="36"/>
        <v>23771.045202119589</v>
      </c>
      <c r="AB11" s="44">
        <v>0</v>
      </c>
      <c r="AC11" s="17">
        <f t="shared" si="14"/>
        <v>0</v>
      </c>
      <c r="AD11" s="17">
        <f t="shared" si="36"/>
        <v>0</v>
      </c>
      <c r="AE11" s="44">
        <v>0.3</v>
      </c>
      <c r="AF11" s="17">
        <f t="shared" si="15"/>
        <v>714.43604525206729</v>
      </c>
      <c r="AG11" s="17">
        <f t="shared" si="36"/>
        <v>7131.3135606358755</v>
      </c>
      <c r="AH11" s="44">
        <v>0.7</v>
      </c>
      <c r="AI11" s="17">
        <f t="shared" si="16"/>
        <v>1667.0174389214903</v>
      </c>
      <c r="AJ11" s="17">
        <f t="shared" si="37"/>
        <v>16639.731641483708</v>
      </c>
      <c r="AK11" s="37">
        <f t="shared" si="38"/>
        <v>1153.8461538461538</v>
      </c>
      <c r="AL11" s="17">
        <f t="shared" si="36"/>
        <v>11538.461538461541</v>
      </c>
      <c r="AM11" s="37"/>
      <c r="AN11" s="23">
        <f t="shared" si="17"/>
        <v>2</v>
      </c>
      <c r="AO11" s="37"/>
      <c r="AP11" s="23">
        <f t="shared" si="18"/>
        <v>2</v>
      </c>
      <c r="AQ11" s="37"/>
      <c r="AR11" s="23">
        <f t="shared" si="19"/>
        <v>2</v>
      </c>
      <c r="AS11" s="17">
        <f t="shared" si="20"/>
        <v>3535.2996380197114</v>
      </c>
      <c r="AT11" s="17">
        <f t="shared" si="21"/>
        <v>35315.506740581121</v>
      </c>
      <c r="AU11" s="46">
        <f t="shared" si="39"/>
        <v>24000</v>
      </c>
      <c r="AV11" s="17">
        <f t="shared" si="22"/>
        <v>11315.506740581121</v>
      </c>
      <c r="AW11" s="17">
        <f t="shared" si="40"/>
        <v>1413.152259520574</v>
      </c>
      <c r="AX11" s="44">
        <f t="shared" si="41"/>
        <v>0.12</v>
      </c>
      <c r="AY11" s="22">
        <f t="shared" si="3"/>
        <v>0.1</v>
      </c>
      <c r="AZ11" s="12">
        <f t="shared" si="23"/>
        <v>0.12</v>
      </c>
    </row>
    <row r="12" spans="1:56" ht="18.75" thickBot="1" x14ac:dyDescent="0.4">
      <c r="A12" s="5">
        <f t="shared" si="24"/>
        <v>43241</v>
      </c>
      <c r="B12" s="37">
        <f t="shared" si="25"/>
        <v>141641.78336433988</v>
      </c>
      <c r="C12" s="18">
        <f t="shared" si="26"/>
        <v>0.12707131930454843</v>
      </c>
      <c r="D12" s="37">
        <f t="shared" si="27"/>
        <v>141955.58700461985</v>
      </c>
      <c r="E12" s="18">
        <f t="shared" si="28"/>
        <v>0.12735284246548165</v>
      </c>
      <c r="F12" s="37">
        <f t="shared" si="29"/>
        <v>798484.71477144083</v>
      </c>
      <c r="G12" s="18">
        <f t="shared" si="30"/>
        <v>0.71634586730336258</v>
      </c>
      <c r="H12" s="38">
        <f t="shared" si="31"/>
        <v>32581.5867214678</v>
      </c>
      <c r="I12" s="18">
        <f t="shared" si="32"/>
        <v>2.9229970926607344E-2</v>
      </c>
      <c r="J12" s="17">
        <f t="shared" si="42"/>
        <v>1114663.6718618684</v>
      </c>
      <c r="K12" s="16">
        <f t="shared" si="44"/>
        <v>-3695.8209495756309</v>
      </c>
      <c r="L12" s="18">
        <f t="shared" si="33"/>
        <v>-3.3046806266960782E-3</v>
      </c>
      <c r="M12" s="19">
        <f t="shared" si="34"/>
        <v>26</v>
      </c>
      <c r="N12" s="50">
        <v>4.0000000000000001E-3</v>
      </c>
      <c r="O12" s="29">
        <f t="shared" si="9"/>
        <v>5.5586295954433033E-2</v>
      </c>
      <c r="P12" s="17">
        <f t="shared" si="0"/>
        <v>61960.024753768841</v>
      </c>
      <c r="Q12" s="20">
        <f t="shared" si="43"/>
        <v>6.8210065079706765E-4</v>
      </c>
      <c r="R12" s="42">
        <f t="shared" si="35"/>
        <v>0.2</v>
      </c>
      <c r="S12" s="17">
        <f t="shared" si="10"/>
        <v>73855.39065682776</v>
      </c>
      <c r="T12" s="42">
        <f t="shared" si="11"/>
        <v>-0.2</v>
      </c>
      <c r="U12" s="17">
        <f t="shared" si="10"/>
        <v>49236.92710455184</v>
      </c>
      <c r="V12" s="42">
        <f t="shared" si="11"/>
        <v>-0.1</v>
      </c>
      <c r="W12" s="42">
        <f t="shared" si="12"/>
        <v>0.1</v>
      </c>
      <c r="X12" s="29">
        <f t="shared" si="13"/>
        <v>5.5586295954433033E-2</v>
      </c>
      <c r="Y12" s="21">
        <f t="shared" si="1"/>
        <v>2.1379344597858858E-3</v>
      </c>
      <c r="Z12" s="17">
        <f t="shared" si="2"/>
        <v>2383.0778751449552</v>
      </c>
      <c r="AA12" s="17">
        <f t="shared" si="36"/>
        <v>26154.123077264543</v>
      </c>
      <c r="AB12" s="44">
        <v>0</v>
      </c>
      <c r="AC12" s="17">
        <f t="shared" si="14"/>
        <v>0</v>
      </c>
      <c r="AD12" s="17">
        <f t="shared" si="36"/>
        <v>0</v>
      </c>
      <c r="AE12" s="44">
        <v>0.3</v>
      </c>
      <c r="AF12" s="17">
        <f t="shared" si="15"/>
        <v>714.92336254348652</v>
      </c>
      <c r="AG12" s="17">
        <f t="shared" si="36"/>
        <v>7846.2369231793618</v>
      </c>
      <c r="AH12" s="44">
        <v>0.7</v>
      </c>
      <c r="AI12" s="17">
        <f t="shared" si="16"/>
        <v>1668.1545126014685</v>
      </c>
      <c r="AJ12" s="17">
        <f t="shared" si="37"/>
        <v>18307.886154085176</v>
      </c>
      <c r="AK12" s="37">
        <f t="shared" si="38"/>
        <v>1153.8461538461538</v>
      </c>
      <c r="AL12" s="17">
        <f t="shared" si="36"/>
        <v>12692.307692307695</v>
      </c>
      <c r="AM12" s="37"/>
      <c r="AN12" s="23">
        <f t="shared" si="17"/>
        <v>2</v>
      </c>
      <c r="AO12" s="37"/>
      <c r="AP12" s="23">
        <f t="shared" si="18"/>
        <v>2</v>
      </c>
      <c r="AQ12" s="37"/>
      <c r="AR12" s="23">
        <f t="shared" si="19"/>
        <v>2</v>
      </c>
      <c r="AS12" s="17">
        <f t="shared" si="20"/>
        <v>3536.924028991109</v>
      </c>
      <c r="AT12" s="17">
        <f t="shared" si="21"/>
        <v>38852.430769572231</v>
      </c>
      <c r="AU12" s="46">
        <f t="shared" si="39"/>
        <v>24000</v>
      </c>
      <c r="AV12" s="17">
        <f t="shared" si="22"/>
        <v>14852.430769572231</v>
      </c>
      <c r="AW12" s="17">
        <f t="shared" si="40"/>
        <v>1766.8446624196849</v>
      </c>
      <c r="AX12" s="44">
        <f t="shared" si="41"/>
        <v>0.12</v>
      </c>
      <c r="AY12" s="22">
        <f t="shared" si="3"/>
        <v>0.1</v>
      </c>
      <c r="AZ12" s="12">
        <f t="shared" si="23"/>
        <v>0.12</v>
      </c>
    </row>
    <row r="13" spans="1:56" ht="18.75" thickBot="1" x14ac:dyDescent="0.4">
      <c r="A13" s="5">
        <f t="shared" si="24"/>
        <v>43255</v>
      </c>
      <c r="B13" s="37">
        <f t="shared" si="25"/>
        <v>141159.65652481126</v>
      </c>
      <c r="C13" s="18">
        <f t="shared" si="26"/>
        <v>0.1270583562061614</v>
      </c>
      <c r="D13" s="37">
        <f t="shared" si="27"/>
        <v>141472.3920257772</v>
      </c>
      <c r="E13" s="18">
        <f t="shared" si="28"/>
        <v>0.12733985064769157</v>
      </c>
      <c r="F13" s="37">
        <f t="shared" si="29"/>
        <v>795054.30577275553</v>
      </c>
      <c r="G13" s="18">
        <f t="shared" si="30"/>
        <v>0.71563147483545642</v>
      </c>
      <c r="H13" s="38">
        <f t="shared" si="31"/>
        <v>33296.510084011286</v>
      </c>
      <c r="I13" s="18">
        <f t="shared" si="32"/>
        <v>2.9970318310690632E-2</v>
      </c>
      <c r="J13" s="17">
        <f t="shared" si="42"/>
        <v>1110982.8644073552</v>
      </c>
      <c r="K13" s="16">
        <f t="shared" si="44"/>
        <v>-3680.8074545131531</v>
      </c>
      <c r="L13" s="18">
        <f t="shared" si="33"/>
        <v>-3.3021686697342076E-3</v>
      </c>
      <c r="M13" s="19">
        <f t="shared" si="34"/>
        <v>26</v>
      </c>
      <c r="N13" s="50">
        <v>2E-3</v>
      </c>
      <c r="O13" s="29">
        <f t="shared" si="9"/>
        <v>5.5697468546341902E-2</v>
      </c>
      <c r="P13" s="17">
        <f t="shared" si="0"/>
        <v>61878.933145853494</v>
      </c>
      <c r="Q13" s="20">
        <f t="shared" si="43"/>
        <v>-1.3087730070736314E-3</v>
      </c>
      <c r="R13" s="42">
        <f t="shared" si="35"/>
        <v>0.2</v>
      </c>
      <c r="S13" s="17">
        <f t="shared" si="10"/>
        <v>73855.39065682776</v>
      </c>
      <c r="T13" s="42">
        <f t="shared" si="11"/>
        <v>-0.2</v>
      </c>
      <c r="U13" s="17">
        <f t="shared" si="10"/>
        <v>49236.92710455184</v>
      </c>
      <c r="V13" s="42">
        <f t="shared" si="11"/>
        <v>-0.1</v>
      </c>
      <c r="W13" s="42">
        <f t="shared" si="12"/>
        <v>0.1</v>
      </c>
      <c r="X13" s="29">
        <f t="shared" si="13"/>
        <v>5.5697468546341902E-2</v>
      </c>
      <c r="Y13" s="21">
        <f t="shared" si="1"/>
        <v>2.1422103287054577E-3</v>
      </c>
      <c r="Z13" s="17">
        <f t="shared" si="2"/>
        <v>2379.9589671482113</v>
      </c>
      <c r="AA13" s="17">
        <f t="shared" si="36"/>
        <v>28534.082044412753</v>
      </c>
      <c r="AB13" s="44">
        <v>0</v>
      </c>
      <c r="AC13" s="17">
        <f t="shared" si="14"/>
        <v>0</v>
      </c>
      <c r="AD13" s="17">
        <f t="shared" si="36"/>
        <v>0</v>
      </c>
      <c r="AE13" s="44">
        <v>0.3</v>
      </c>
      <c r="AF13" s="17">
        <f t="shared" si="15"/>
        <v>713.98769014446339</v>
      </c>
      <c r="AG13" s="17">
        <f t="shared" si="36"/>
        <v>8560.2246133238259</v>
      </c>
      <c r="AH13" s="44">
        <v>0.7</v>
      </c>
      <c r="AI13" s="17">
        <f t="shared" si="16"/>
        <v>1665.9712770037479</v>
      </c>
      <c r="AJ13" s="17">
        <f t="shared" si="37"/>
        <v>19973.857431088923</v>
      </c>
      <c r="AK13" s="37">
        <f t="shared" si="38"/>
        <v>1153.8461538461538</v>
      </c>
      <c r="AL13" s="17">
        <f t="shared" si="36"/>
        <v>13846.153846153849</v>
      </c>
      <c r="AM13" s="37"/>
      <c r="AN13" s="23">
        <f t="shared" si="17"/>
        <v>2</v>
      </c>
      <c r="AO13" s="37"/>
      <c r="AP13" s="23">
        <f t="shared" si="18"/>
        <v>2</v>
      </c>
      <c r="AQ13" s="37"/>
      <c r="AR13" s="23">
        <f t="shared" si="19"/>
        <v>2</v>
      </c>
      <c r="AS13" s="17">
        <f t="shared" si="20"/>
        <v>3533.8051209943651</v>
      </c>
      <c r="AT13" s="17">
        <f t="shared" si="21"/>
        <v>42386.235890566597</v>
      </c>
      <c r="AU13" s="46">
        <f t="shared" si="39"/>
        <v>24000</v>
      </c>
      <c r="AV13" s="17">
        <f t="shared" si="22"/>
        <v>18386.235890566597</v>
      </c>
      <c r="AW13" s="17">
        <f t="shared" si="40"/>
        <v>2120.2251745191215</v>
      </c>
      <c r="AX13" s="44">
        <f t="shared" si="41"/>
        <v>0.12</v>
      </c>
      <c r="AY13" s="22">
        <f t="shared" si="3"/>
        <v>0.1</v>
      </c>
      <c r="AZ13" s="12">
        <f t="shared" si="23"/>
        <v>0.12</v>
      </c>
    </row>
    <row r="14" spans="1:56" ht="18.75" thickBot="1" x14ac:dyDescent="0.4">
      <c r="A14" s="5">
        <f t="shared" si="24"/>
        <v>43269</v>
      </c>
      <c r="B14" s="37">
        <f t="shared" si="25"/>
        <v>140679.17077087105</v>
      </c>
      <c r="C14" s="18">
        <f t="shared" si="26"/>
        <v>0.12704507265570733</v>
      </c>
      <c r="D14" s="37">
        <f t="shared" si="27"/>
        <v>140990.84176830485</v>
      </c>
      <c r="E14" s="18">
        <f t="shared" si="28"/>
        <v>0.12732653766788132</v>
      </c>
      <c r="F14" s="37">
        <f t="shared" si="29"/>
        <v>791636.5058460607</v>
      </c>
      <c r="G14" s="18">
        <f t="shared" si="30"/>
        <v>0.7149140619113441</v>
      </c>
      <c r="H14" s="38">
        <f t="shared" si="31"/>
        <v>34010.497774155752</v>
      </c>
      <c r="I14" s="18">
        <f t="shared" si="32"/>
        <v>3.0714327765067165E-2</v>
      </c>
      <c r="J14" s="17">
        <f t="shared" si="42"/>
        <v>1107317.0161593924</v>
      </c>
      <c r="K14" s="16">
        <f t="shared" si="44"/>
        <v>-3665.848247962771</v>
      </c>
      <c r="L14" s="18">
        <f t="shared" si="33"/>
        <v>-3.2996442748181253E-3</v>
      </c>
      <c r="M14" s="19">
        <f t="shared" si="34"/>
        <v>26</v>
      </c>
      <c r="N14" s="50">
        <v>2E-3</v>
      </c>
      <c r="O14" s="29">
        <f t="shared" si="9"/>
        <v>5.5808863483434584E-2</v>
      </c>
      <c r="P14" s="17">
        <f t="shared" si="0"/>
        <v>61798.104187723657</v>
      </c>
      <c r="Q14" s="20">
        <f t="shared" si="43"/>
        <v>-1.3062435633678026E-3</v>
      </c>
      <c r="R14" s="42">
        <f t="shared" si="35"/>
        <v>0.2</v>
      </c>
      <c r="S14" s="17">
        <f t="shared" si="10"/>
        <v>73855.39065682776</v>
      </c>
      <c r="T14" s="42">
        <f t="shared" si="11"/>
        <v>-0.2</v>
      </c>
      <c r="U14" s="17">
        <f t="shared" si="10"/>
        <v>49236.92710455184</v>
      </c>
      <c r="V14" s="42">
        <f t="shared" si="11"/>
        <v>-0.1</v>
      </c>
      <c r="W14" s="42">
        <f t="shared" si="12"/>
        <v>0.1</v>
      </c>
      <c r="X14" s="29">
        <f t="shared" si="13"/>
        <v>5.5808863483434584E-2</v>
      </c>
      <c r="Y14" s="21">
        <f t="shared" si="1"/>
        <v>2.1464947493628687E-3</v>
      </c>
      <c r="Z14" s="17">
        <f t="shared" si="2"/>
        <v>2376.8501610662947</v>
      </c>
      <c r="AA14" s="17">
        <f t="shared" si="36"/>
        <v>30910.932205479046</v>
      </c>
      <c r="AB14" s="44">
        <v>0</v>
      </c>
      <c r="AC14" s="17">
        <f t="shared" si="14"/>
        <v>0</v>
      </c>
      <c r="AD14" s="17">
        <f t="shared" si="36"/>
        <v>0</v>
      </c>
      <c r="AE14" s="44">
        <v>0.3</v>
      </c>
      <c r="AF14" s="17">
        <f t="shared" si="15"/>
        <v>713.05504831988844</v>
      </c>
      <c r="AG14" s="17">
        <f t="shared" si="36"/>
        <v>9273.2796616437136</v>
      </c>
      <c r="AH14" s="44">
        <v>0.7</v>
      </c>
      <c r="AI14" s="17">
        <f t="shared" si="16"/>
        <v>1663.7951127464062</v>
      </c>
      <c r="AJ14" s="17">
        <f t="shared" si="37"/>
        <v>21637.652543835331</v>
      </c>
      <c r="AK14" s="37">
        <f t="shared" si="38"/>
        <v>1153.8461538461538</v>
      </c>
      <c r="AL14" s="17">
        <f t="shared" si="36"/>
        <v>15000.000000000004</v>
      </c>
      <c r="AM14" s="37"/>
      <c r="AN14" s="23">
        <f t="shared" si="17"/>
        <v>2</v>
      </c>
      <c r="AO14" s="37"/>
      <c r="AP14" s="23">
        <f t="shared" si="18"/>
        <v>2</v>
      </c>
      <c r="AQ14" s="37"/>
      <c r="AR14" s="23">
        <f t="shared" si="19"/>
        <v>2</v>
      </c>
      <c r="AS14" s="17">
        <f t="shared" si="20"/>
        <v>3530.6963149124485</v>
      </c>
      <c r="AT14" s="17">
        <f t="shared" si="21"/>
        <v>45916.932205479046</v>
      </c>
      <c r="AU14" s="46">
        <f t="shared" si="39"/>
        <v>24000</v>
      </c>
      <c r="AV14" s="17">
        <f t="shared" si="22"/>
        <v>21916.932205479046</v>
      </c>
      <c r="AW14" s="17">
        <f t="shared" si="40"/>
        <v>2543.9087323086155</v>
      </c>
      <c r="AX14" s="44">
        <f t="shared" si="41"/>
        <v>0.12</v>
      </c>
      <c r="AY14" s="22">
        <f t="shared" si="3"/>
        <v>0.12</v>
      </c>
      <c r="AZ14" s="12">
        <f t="shared" si="23"/>
        <v>0.12</v>
      </c>
    </row>
    <row r="15" spans="1:56" ht="18.75" thickBot="1" x14ac:dyDescent="0.4">
      <c r="A15" s="5">
        <f t="shared" si="24"/>
        <v>43283</v>
      </c>
      <c r="B15" s="37">
        <f t="shared" si="25"/>
        <v>140200.32051651634</v>
      </c>
      <c r="C15" s="18">
        <f t="shared" si="26"/>
        <v>0.12703146716497363</v>
      </c>
      <c r="D15" s="37">
        <f t="shared" si="27"/>
        <v>140510.93063382426</v>
      </c>
      <c r="E15" s="18">
        <f t="shared" si="28"/>
        <v>0.12731290203454129</v>
      </c>
      <c r="F15" s="37">
        <f t="shared" si="29"/>
        <v>788231.26905175624</v>
      </c>
      <c r="G15" s="18">
        <f t="shared" si="30"/>
        <v>0.71419362098503758</v>
      </c>
      <c r="H15" s="38">
        <f t="shared" si="31"/>
        <v>34723.552822475642</v>
      </c>
      <c r="I15" s="18">
        <f t="shared" si="32"/>
        <v>3.1462009815447632E-2</v>
      </c>
      <c r="J15" s="17">
        <f t="shared" si="42"/>
        <v>1103666.0730245723</v>
      </c>
      <c r="K15" s="16">
        <f t="shared" si="44"/>
        <v>-3650.9431348200887</v>
      </c>
      <c r="L15" s="18">
        <f t="shared" si="33"/>
        <v>-3.2971074060461785E-3</v>
      </c>
      <c r="M15" s="19">
        <f t="shared" si="34"/>
        <v>26</v>
      </c>
      <c r="N15" s="50">
        <v>0</v>
      </c>
      <c r="O15" s="29">
        <f t="shared" si="9"/>
        <v>5.5808863483434584E-2</v>
      </c>
      <c r="P15" s="17">
        <f t="shared" si="0"/>
        <v>61594.349200726705</v>
      </c>
      <c r="Q15" s="20">
        <f t="shared" si="43"/>
        <v>-3.2971074060460914E-3</v>
      </c>
      <c r="R15" s="42">
        <f t="shared" si="35"/>
        <v>0.2</v>
      </c>
      <c r="S15" s="17">
        <f t="shared" si="10"/>
        <v>73855.39065682776</v>
      </c>
      <c r="T15" s="42">
        <f t="shared" si="11"/>
        <v>-0.2</v>
      </c>
      <c r="U15" s="17">
        <f t="shared" si="10"/>
        <v>49236.92710455184</v>
      </c>
      <c r="V15" s="42">
        <f t="shared" si="11"/>
        <v>-0.1</v>
      </c>
      <c r="W15" s="42">
        <f t="shared" si="12"/>
        <v>0.1</v>
      </c>
      <c r="X15" s="29">
        <f t="shared" si="13"/>
        <v>5.5808863483434584E-2</v>
      </c>
      <c r="Y15" s="21">
        <f t="shared" si="1"/>
        <v>2.1464947493628687E-3</v>
      </c>
      <c r="Z15" s="17">
        <f t="shared" si="2"/>
        <v>2369.0134307971812</v>
      </c>
      <c r="AA15" s="17">
        <f t="shared" si="36"/>
        <v>33279.945636276228</v>
      </c>
      <c r="AB15" s="44">
        <v>0</v>
      </c>
      <c r="AC15" s="17">
        <f t="shared" si="14"/>
        <v>0</v>
      </c>
      <c r="AD15" s="17">
        <f t="shared" si="36"/>
        <v>0</v>
      </c>
      <c r="AE15" s="44">
        <v>0.3</v>
      </c>
      <c r="AF15" s="17">
        <f t="shared" si="15"/>
        <v>710.70402923915435</v>
      </c>
      <c r="AG15" s="17">
        <f t="shared" si="36"/>
        <v>9983.9836908828674</v>
      </c>
      <c r="AH15" s="44">
        <v>0.7</v>
      </c>
      <c r="AI15" s="17">
        <f t="shared" si="16"/>
        <v>1658.3094015580268</v>
      </c>
      <c r="AJ15" s="17">
        <f t="shared" si="37"/>
        <v>23295.961945393359</v>
      </c>
      <c r="AK15" s="37">
        <f t="shared" si="38"/>
        <v>1153.8461538461538</v>
      </c>
      <c r="AL15" s="17">
        <f t="shared" si="36"/>
        <v>16153.846153846158</v>
      </c>
      <c r="AM15" s="37"/>
      <c r="AN15" s="23">
        <f t="shared" si="17"/>
        <v>2</v>
      </c>
      <c r="AO15" s="37"/>
      <c r="AP15" s="23">
        <f t="shared" si="18"/>
        <v>2</v>
      </c>
      <c r="AQ15" s="37"/>
      <c r="AR15" s="23">
        <f t="shared" si="19"/>
        <v>2</v>
      </c>
      <c r="AS15" s="17">
        <f t="shared" si="20"/>
        <v>3522.859584643335</v>
      </c>
      <c r="AT15" s="17">
        <f t="shared" si="21"/>
        <v>49439.791790122385</v>
      </c>
      <c r="AU15" s="46">
        <f t="shared" si="39"/>
        <v>24000</v>
      </c>
      <c r="AV15" s="17">
        <f t="shared" si="22"/>
        <v>25439.791790122385</v>
      </c>
      <c r="AW15" s="17">
        <f t="shared" si="40"/>
        <v>2966.6518824658156</v>
      </c>
      <c r="AX15" s="44">
        <f t="shared" si="41"/>
        <v>0.12</v>
      </c>
      <c r="AY15" s="22">
        <f t="shared" si="3"/>
        <v>0.12</v>
      </c>
      <c r="AZ15" s="12">
        <f t="shared" si="23"/>
        <v>0.12</v>
      </c>
    </row>
    <row r="16" spans="1:56" ht="18.75" thickBot="1" x14ac:dyDescent="0.4">
      <c r="A16" s="5">
        <f t="shared" si="24"/>
        <v>43297</v>
      </c>
      <c r="B16" s="37">
        <f t="shared" si="25"/>
        <v>139723.10019475818</v>
      </c>
      <c r="C16" s="18">
        <f t="shared" si="26"/>
        <v>0.12701753880297223</v>
      </c>
      <c r="D16" s="37">
        <f t="shared" si="27"/>
        <v>140032.65304301298</v>
      </c>
      <c r="E16" s="18">
        <f t="shared" si="28"/>
        <v>0.12729894281462076</v>
      </c>
      <c r="F16" s="37">
        <f t="shared" si="29"/>
        <v>784839.96617619053</v>
      </c>
      <c r="G16" s="18">
        <f t="shared" si="30"/>
        <v>0.71347143542444513</v>
      </c>
      <c r="H16" s="38">
        <f t="shared" si="31"/>
        <v>35434.256851714796</v>
      </c>
      <c r="I16" s="18">
        <f t="shared" si="32"/>
        <v>3.2212082957961866E-2</v>
      </c>
      <c r="J16" s="17">
        <f t="shared" si="42"/>
        <v>1100029.9762656766</v>
      </c>
      <c r="K16" s="16">
        <f t="shared" si="44"/>
        <v>-3636.0967588957865</v>
      </c>
      <c r="L16" s="18">
        <f t="shared" si="33"/>
        <v>-3.2945624113742519E-3</v>
      </c>
      <c r="M16" s="19">
        <f t="shared" si="34"/>
        <v>26</v>
      </c>
      <c r="N16" s="50">
        <v>0</v>
      </c>
      <c r="O16" s="29">
        <f t="shared" si="9"/>
        <v>5.5808863483434584E-2</v>
      </c>
      <c r="P16" s="17">
        <f t="shared" si="0"/>
        <v>61391.422773096929</v>
      </c>
      <c r="Q16" s="20">
        <f t="shared" si="43"/>
        <v>-3.294562411374291E-3</v>
      </c>
      <c r="R16" s="42">
        <f t="shared" si="35"/>
        <v>0.2</v>
      </c>
      <c r="S16" s="17">
        <f t="shared" si="10"/>
        <v>73855.39065682776</v>
      </c>
      <c r="T16" s="42">
        <f t="shared" si="11"/>
        <v>-0.2</v>
      </c>
      <c r="U16" s="17">
        <f t="shared" si="10"/>
        <v>49236.92710455184</v>
      </c>
      <c r="V16" s="42">
        <f t="shared" si="11"/>
        <v>-0.1</v>
      </c>
      <c r="W16" s="42">
        <f t="shared" si="12"/>
        <v>0.1</v>
      </c>
      <c r="X16" s="29">
        <f t="shared" si="13"/>
        <v>5.5808863483434584E-2</v>
      </c>
      <c r="Y16" s="21">
        <f t="shared" si="1"/>
        <v>2.1464947493628687E-3</v>
      </c>
      <c r="Z16" s="17">
        <f t="shared" si="2"/>
        <v>2361.2085681960357</v>
      </c>
      <c r="AA16" s="17">
        <f t="shared" si="36"/>
        <v>35641.154204472266</v>
      </c>
      <c r="AB16" s="44">
        <v>0</v>
      </c>
      <c r="AC16" s="17">
        <f t="shared" si="14"/>
        <v>0</v>
      </c>
      <c r="AD16" s="17">
        <f t="shared" si="36"/>
        <v>0</v>
      </c>
      <c r="AE16" s="44">
        <v>0.3</v>
      </c>
      <c r="AF16" s="17">
        <f t="shared" si="15"/>
        <v>708.36257045881064</v>
      </c>
      <c r="AG16" s="17">
        <f t="shared" si="36"/>
        <v>10692.346261341678</v>
      </c>
      <c r="AH16" s="44">
        <v>0.7</v>
      </c>
      <c r="AI16" s="17">
        <f t="shared" si="16"/>
        <v>1652.8459977372249</v>
      </c>
      <c r="AJ16" s="17">
        <f t="shared" si="37"/>
        <v>24948.807943130585</v>
      </c>
      <c r="AK16" s="37">
        <f t="shared" si="38"/>
        <v>1153.8461538461538</v>
      </c>
      <c r="AL16" s="17">
        <f t="shared" si="36"/>
        <v>17307.692307692312</v>
      </c>
      <c r="AM16" s="37"/>
      <c r="AN16" s="23">
        <f t="shared" si="17"/>
        <v>2</v>
      </c>
      <c r="AO16" s="37"/>
      <c r="AP16" s="23">
        <f t="shared" si="18"/>
        <v>2</v>
      </c>
      <c r="AQ16" s="37"/>
      <c r="AR16" s="23">
        <f t="shared" si="19"/>
        <v>2</v>
      </c>
      <c r="AS16" s="17">
        <f t="shared" si="20"/>
        <v>3515.0547220421895</v>
      </c>
      <c r="AT16" s="17">
        <f t="shared" si="21"/>
        <v>52954.846512164579</v>
      </c>
      <c r="AU16" s="46">
        <f t="shared" si="39"/>
        <v>24000</v>
      </c>
      <c r="AV16" s="17">
        <f t="shared" si="22"/>
        <v>28954.846512164579</v>
      </c>
      <c r="AW16" s="17">
        <f t="shared" si="40"/>
        <v>3388.4584491108781</v>
      </c>
      <c r="AX16" s="44">
        <f t="shared" si="41"/>
        <v>0.12</v>
      </c>
      <c r="AY16" s="22">
        <f t="shared" si="3"/>
        <v>0.12</v>
      </c>
      <c r="AZ16" s="12">
        <f t="shared" si="23"/>
        <v>0.12</v>
      </c>
    </row>
    <row r="17" spans="1:56" ht="18.75" thickBot="1" x14ac:dyDescent="0.4">
      <c r="A17" s="5">
        <f t="shared" si="24"/>
        <v>43311</v>
      </c>
      <c r="B17" s="37">
        <f t="shared" si="25"/>
        <v>139247.50425755681</v>
      </c>
      <c r="C17" s="18">
        <f t="shared" si="26"/>
        <v>0.12700328663997579</v>
      </c>
      <c r="D17" s="37">
        <f t="shared" si="27"/>
        <v>139556.00343553963</v>
      </c>
      <c r="E17" s="18">
        <f t="shared" si="28"/>
        <v>0.12728465907633257</v>
      </c>
      <c r="F17" s="37">
        <f t="shared" si="29"/>
        <v>781462.54026268912</v>
      </c>
      <c r="G17" s="18">
        <f t="shared" si="30"/>
        <v>0.71274750329322212</v>
      </c>
      <c r="H17" s="38">
        <f t="shared" si="31"/>
        <v>36142.619422173608</v>
      </c>
      <c r="I17" s="18">
        <f t="shared" si="32"/>
        <v>3.2964550990469653E-2</v>
      </c>
      <c r="J17" s="17">
        <f t="shared" si="42"/>
        <v>1096408.667377959</v>
      </c>
      <c r="K17" s="16">
        <f t="shared" si="44"/>
        <v>-3621.3088877175469</v>
      </c>
      <c r="L17" s="18">
        <f t="shared" si="33"/>
        <v>-3.2920092777934781E-3</v>
      </c>
      <c r="M17" s="19">
        <f t="shared" si="34"/>
        <v>26</v>
      </c>
      <c r="N17" s="50">
        <v>0</v>
      </c>
      <c r="O17" s="29">
        <f t="shared" si="9"/>
        <v>5.5808863483434584E-2</v>
      </c>
      <c r="P17" s="17">
        <f t="shared" si="0"/>
        <v>61189.321639750953</v>
      </c>
      <c r="Q17" s="20">
        <f t="shared" si="43"/>
        <v>-3.292009277793456E-3</v>
      </c>
      <c r="R17" s="42">
        <f t="shared" si="35"/>
        <v>0.2</v>
      </c>
      <c r="S17" s="17">
        <f t="shared" si="10"/>
        <v>73855.39065682776</v>
      </c>
      <c r="T17" s="42">
        <f t="shared" si="11"/>
        <v>-0.2</v>
      </c>
      <c r="U17" s="17">
        <f t="shared" si="10"/>
        <v>49236.92710455184</v>
      </c>
      <c r="V17" s="42">
        <f t="shared" si="11"/>
        <v>-0.1</v>
      </c>
      <c r="W17" s="42">
        <f t="shared" si="12"/>
        <v>0.1</v>
      </c>
      <c r="X17" s="29">
        <f t="shared" si="13"/>
        <v>5.5808863483434584E-2</v>
      </c>
      <c r="Y17" s="21">
        <f t="shared" si="1"/>
        <v>2.1464947493628687E-3</v>
      </c>
      <c r="Z17" s="17">
        <f t="shared" si="2"/>
        <v>2353.4354476827289</v>
      </c>
      <c r="AA17" s="17">
        <f t="shared" si="36"/>
        <v>37994.589652154995</v>
      </c>
      <c r="AB17" s="44">
        <v>0</v>
      </c>
      <c r="AC17" s="17">
        <f t="shared" si="14"/>
        <v>0</v>
      </c>
      <c r="AD17" s="17">
        <f t="shared" si="36"/>
        <v>0</v>
      </c>
      <c r="AE17" s="44">
        <v>0.3</v>
      </c>
      <c r="AF17" s="17">
        <f t="shared" si="15"/>
        <v>706.03063430481859</v>
      </c>
      <c r="AG17" s="17">
        <f t="shared" si="36"/>
        <v>11398.376895646496</v>
      </c>
      <c r="AH17" s="44">
        <v>0.7</v>
      </c>
      <c r="AI17" s="17">
        <f t="shared" si="16"/>
        <v>1647.4048133779102</v>
      </c>
      <c r="AJ17" s="17">
        <f t="shared" si="37"/>
        <v>26596.212756508496</v>
      </c>
      <c r="AK17" s="37">
        <f t="shared" si="38"/>
        <v>1153.8461538461538</v>
      </c>
      <c r="AL17" s="17">
        <f t="shared" si="36"/>
        <v>18461.538461538465</v>
      </c>
      <c r="AM17" s="37"/>
      <c r="AN17" s="23">
        <f t="shared" si="17"/>
        <v>2</v>
      </c>
      <c r="AO17" s="37"/>
      <c r="AP17" s="23">
        <f t="shared" si="18"/>
        <v>2</v>
      </c>
      <c r="AQ17" s="37"/>
      <c r="AR17" s="23">
        <f t="shared" si="19"/>
        <v>2</v>
      </c>
      <c r="AS17" s="17">
        <f t="shared" si="20"/>
        <v>3507.2816015288827</v>
      </c>
      <c r="AT17" s="17">
        <f t="shared" si="21"/>
        <v>56462.128113693463</v>
      </c>
      <c r="AU17" s="46">
        <f t="shared" si="39"/>
        <v>24000</v>
      </c>
      <c r="AV17" s="17">
        <f t="shared" si="22"/>
        <v>32462.128113693463</v>
      </c>
      <c r="AW17" s="17">
        <f t="shared" si="40"/>
        <v>3809.3322412943439</v>
      </c>
      <c r="AX17" s="44">
        <f t="shared" si="41"/>
        <v>0.12</v>
      </c>
      <c r="AY17" s="22">
        <f t="shared" si="3"/>
        <v>0.12</v>
      </c>
      <c r="AZ17" s="12">
        <f t="shared" si="23"/>
        <v>0.12</v>
      </c>
    </row>
    <row r="18" spans="1:56" ht="18.75" thickBot="1" x14ac:dyDescent="0.4">
      <c r="A18" s="5">
        <f t="shared" si="24"/>
        <v>43325</v>
      </c>
      <c r="B18" s="37">
        <f t="shared" si="25"/>
        <v>138773.52717575704</v>
      </c>
      <c r="C18" s="18">
        <f t="shared" si="26"/>
        <v>0.12698870974755386</v>
      </c>
      <c r="D18" s="37">
        <f t="shared" si="27"/>
        <v>139080.97626999943</v>
      </c>
      <c r="E18" s="18">
        <f t="shared" si="28"/>
        <v>0.12727004988918941</v>
      </c>
      <c r="F18" s="37">
        <f t="shared" si="29"/>
        <v>778098.93458599539</v>
      </c>
      <c r="G18" s="18">
        <f t="shared" si="30"/>
        <v>0.71202182267716674</v>
      </c>
      <c r="H18" s="38">
        <f t="shared" si="31"/>
        <v>36848.650056478429</v>
      </c>
      <c r="I18" s="18">
        <f t="shared" si="32"/>
        <v>3.3719417686090068E-2</v>
      </c>
      <c r="J18" s="17">
        <f t="shared" si="42"/>
        <v>1092802.0880882302</v>
      </c>
      <c r="K18" s="16">
        <f t="shared" si="44"/>
        <v>-3606.5792897287756</v>
      </c>
      <c r="L18" s="18">
        <f t="shared" si="33"/>
        <v>-3.2894479923748169E-3</v>
      </c>
      <c r="M18" s="19">
        <f t="shared" si="34"/>
        <v>26</v>
      </c>
      <c r="N18" s="50">
        <v>1E-3</v>
      </c>
      <c r="O18" s="29">
        <f t="shared" si="9"/>
        <v>5.5864672346918012E-2</v>
      </c>
      <c r="P18" s="17">
        <f t="shared" si="0"/>
        <v>61049.030591076815</v>
      </c>
      <c r="Q18" s="20">
        <f t="shared" si="43"/>
        <v>-2.2927374403673719E-3</v>
      </c>
      <c r="R18" s="42">
        <f t="shared" si="35"/>
        <v>0.2</v>
      </c>
      <c r="S18" s="17">
        <f t="shared" si="10"/>
        <v>73855.39065682776</v>
      </c>
      <c r="T18" s="42">
        <f t="shared" si="11"/>
        <v>-0.2</v>
      </c>
      <c r="U18" s="17">
        <f t="shared" si="10"/>
        <v>49236.92710455184</v>
      </c>
      <c r="V18" s="42">
        <f t="shared" si="11"/>
        <v>-0.1</v>
      </c>
      <c r="W18" s="42">
        <f t="shared" si="12"/>
        <v>0.1</v>
      </c>
      <c r="X18" s="29">
        <f t="shared" si="13"/>
        <v>5.5864672346918012E-2</v>
      </c>
      <c r="Y18" s="21">
        <f t="shared" si="1"/>
        <v>2.148641244112231E-3</v>
      </c>
      <c r="Z18" s="17">
        <f t="shared" si="2"/>
        <v>2348.0396381183391</v>
      </c>
      <c r="AA18" s="17">
        <f t="shared" si="36"/>
        <v>40342.629290273333</v>
      </c>
      <c r="AB18" s="44">
        <v>0</v>
      </c>
      <c r="AC18" s="17">
        <f t="shared" si="14"/>
        <v>0</v>
      </c>
      <c r="AD18" s="17">
        <f t="shared" si="36"/>
        <v>0</v>
      </c>
      <c r="AE18" s="44">
        <v>0.3</v>
      </c>
      <c r="AF18" s="17">
        <f t="shared" si="15"/>
        <v>704.41189143550173</v>
      </c>
      <c r="AG18" s="17">
        <f t="shared" si="36"/>
        <v>12102.788787081998</v>
      </c>
      <c r="AH18" s="44">
        <v>0.7</v>
      </c>
      <c r="AI18" s="17">
        <f t="shared" si="16"/>
        <v>1643.6277466828374</v>
      </c>
      <c r="AJ18" s="17">
        <f t="shared" si="37"/>
        <v>28239.840503191332</v>
      </c>
      <c r="AK18" s="37">
        <f t="shared" si="38"/>
        <v>1153.8461538461538</v>
      </c>
      <c r="AL18" s="17">
        <f t="shared" si="36"/>
        <v>19615.384615384617</v>
      </c>
      <c r="AM18" s="37"/>
      <c r="AN18" s="23">
        <f t="shared" si="17"/>
        <v>2</v>
      </c>
      <c r="AO18" s="37"/>
      <c r="AP18" s="23">
        <f t="shared" si="18"/>
        <v>2</v>
      </c>
      <c r="AQ18" s="37"/>
      <c r="AR18" s="23">
        <f t="shared" si="19"/>
        <v>2</v>
      </c>
      <c r="AS18" s="17">
        <f t="shared" si="20"/>
        <v>3501.8857919644929</v>
      </c>
      <c r="AT18" s="17">
        <f t="shared" si="21"/>
        <v>59964.013905657957</v>
      </c>
      <c r="AU18" s="46">
        <f t="shared" si="39"/>
        <v>24000</v>
      </c>
      <c r="AV18" s="17">
        <f t="shared" si="22"/>
        <v>35964.013905657957</v>
      </c>
      <c r="AW18" s="17">
        <f t="shared" si="40"/>
        <v>4229.5585363300834</v>
      </c>
      <c r="AX18" s="44">
        <f t="shared" si="41"/>
        <v>0.12</v>
      </c>
      <c r="AY18" s="22">
        <f t="shared" si="3"/>
        <v>0.12</v>
      </c>
      <c r="AZ18" s="12">
        <f t="shared" si="23"/>
        <v>0.12</v>
      </c>
    </row>
    <row r="19" spans="1:56" ht="18.75" thickBot="1" x14ac:dyDescent="0.4">
      <c r="A19" s="5">
        <f t="shared" si="24"/>
        <v>43339</v>
      </c>
      <c r="B19" s="37">
        <f t="shared" si="25"/>
        <v>138301.16343902418</v>
      </c>
      <c r="C19" s="18">
        <f t="shared" si="26"/>
        <v>0.12697380691937815</v>
      </c>
      <c r="D19" s="37">
        <f t="shared" si="27"/>
        <v>138607.56602384962</v>
      </c>
      <c r="E19" s="18">
        <f t="shared" si="28"/>
        <v>0.12725511404419043</v>
      </c>
      <c r="F19" s="37">
        <f t="shared" si="29"/>
        <v>774748.39133846492</v>
      </c>
      <c r="G19" s="18">
        <f t="shared" si="30"/>
        <v>0.71129374624733932</v>
      </c>
      <c r="H19" s="38">
        <f t="shared" si="31"/>
        <v>37553.061947913928</v>
      </c>
      <c r="I19" s="18">
        <f t="shared" si="32"/>
        <v>3.4477332789092215E-2</v>
      </c>
      <c r="J19" s="17">
        <f t="shared" si="42"/>
        <v>1089210.1827492525</v>
      </c>
      <c r="K19" s="16">
        <f t="shared" si="44"/>
        <v>-3591.9053389776964</v>
      </c>
      <c r="L19" s="18">
        <f t="shared" si="33"/>
        <v>-3.2868763503750686E-3</v>
      </c>
      <c r="M19" s="19">
        <f t="shared" si="34"/>
        <v>26</v>
      </c>
      <c r="N19" s="50">
        <v>1E-3</v>
      </c>
      <c r="O19" s="29">
        <f t="shared" si="9"/>
        <v>5.5920537019264922E-2</v>
      </c>
      <c r="P19" s="17">
        <f t="shared" si="0"/>
        <v>60909.218346189889</v>
      </c>
      <c r="Q19" s="20">
        <f t="shared" si="43"/>
        <v>-2.2901632267255177E-3</v>
      </c>
      <c r="R19" s="42">
        <f t="shared" si="35"/>
        <v>0.2</v>
      </c>
      <c r="S19" s="17">
        <f t="shared" si="10"/>
        <v>73855.39065682776</v>
      </c>
      <c r="T19" s="42">
        <f t="shared" ref="T19:V28" si="45">T18</f>
        <v>-0.2</v>
      </c>
      <c r="U19" s="17">
        <f t="shared" si="10"/>
        <v>49236.92710455184</v>
      </c>
      <c r="V19" s="42">
        <f t="shared" si="45"/>
        <v>-0.1</v>
      </c>
      <c r="W19" s="42">
        <f t="shared" si="12"/>
        <v>0.1</v>
      </c>
      <c r="X19" s="29">
        <f t="shared" si="13"/>
        <v>5.5920537019264922E-2</v>
      </c>
      <c r="Y19" s="21">
        <f t="shared" si="1"/>
        <v>2.1507898853563431E-3</v>
      </c>
      <c r="Z19" s="17">
        <f t="shared" si="2"/>
        <v>2342.6622440842266</v>
      </c>
      <c r="AA19" s="17">
        <f t="shared" si="36"/>
        <v>42685.291534357559</v>
      </c>
      <c r="AB19" s="44">
        <v>0</v>
      </c>
      <c r="AC19" s="17">
        <f t="shared" si="14"/>
        <v>0</v>
      </c>
      <c r="AD19" s="17">
        <f t="shared" si="36"/>
        <v>0</v>
      </c>
      <c r="AE19" s="44">
        <v>0.3</v>
      </c>
      <c r="AF19" s="17">
        <f t="shared" si="15"/>
        <v>702.79867322526798</v>
      </c>
      <c r="AG19" s="17">
        <f t="shared" si="36"/>
        <v>12805.587460307266</v>
      </c>
      <c r="AH19" s="44">
        <v>0.7</v>
      </c>
      <c r="AI19" s="17">
        <f t="shared" si="16"/>
        <v>1639.8635708589586</v>
      </c>
      <c r="AJ19" s="17">
        <f t="shared" si="37"/>
        <v>29879.704074050289</v>
      </c>
      <c r="AK19" s="37">
        <f t="shared" si="38"/>
        <v>1153.8461538461538</v>
      </c>
      <c r="AL19" s="17">
        <f t="shared" si="36"/>
        <v>20769.23076923077</v>
      </c>
      <c r="AM19" s="37"/>
      <c r="AN19" s="23">
        <f t="shared" si="17"/>
        <v>2</v>
      </c>
      <c r="AO19" s="37"/>
      <c r="AP19" s="23">
        <f t="shared" si="18"/>
        <v>2</v>
      </c>
      <c r="AQ19" s="37"/>
      <c r="AR19" s="23">
        <f t="shared" si="19"/>
        <v>2</v>
      </c>
      <c r="AS19" s="17">
        <f t="shared" si="20"/>
        <v>3496.5083979303804</v>
      </c>
      <c r="AT19" s="17">
        <f t="shared" si="21"/>
        <v>63460.522303588339</v>
      </c>
      <c r="AU19" s="46">
        <f t="shared" si="39"/>
        <v>24000</v>
      </c>
      <c r="AV19" s="17">
        <f t="shared" si="22"/>
        <v>39460.522303588339</v>
      </c>
      <c r="AW19" s="17">
        <f t="shared" si="40"/>
        <v>4649.1395440817287</v>
      </c>
      <c r="AX19" s="44">
        <f t="shared" si="41"/>
        <v>0.12</v>
      </c>
      <c r="AY19" s="22">
        <f t="shared" si="3"/>
        <v>0.12</v>
      </c>
      <c r="AZ19" s="12">
        <f t="shared" si="23"/>
        <v>0.22</v>
      </c>
    </row>
    <row r="20" spans="1:56" ht="18.75" thickBot="1" x14ac:dyDescent="0.4">
      <c r="A20" s="5">
        <f t="shared" si="24"/>
        <v>43353</v>
      </c>
      <c r="B20" s="37">
        <f t="shared" si="25"/>
        <v>137830.40755577982</v>
      </c>
      <c r="C20" s="18">
        <f t="shared" si="26"/>
        <v>0.12695857694946033</v>
      </c>
      <c r="D20" s="37">
        <f t="shared" si="27"/>
        <v>138135.76719334535</v>
      </c>
      <c r="E20" s="18">
        <f t="shared" si="28"/>
        <v>0.12723985033267537</v>
      </c>
      <c r="F20" s="37">
        <f t="shared" si="29"/>
        <v>771410.86055174458</v>
      </c>
      <c r="G20" s="18">
        <f t="shared" si="30"/>
        <v>0.71056327000537223</v>
      </c>
      <c r="H20" s="38">
        <f t="shared" si="31"/>
        <v>38255.860621139196</v>
      </c>
      <c r="I20" s="18">
        <f t="shared" si="32"/>
        <v>3.5238302712492113E-2</v>
      </c>
      <c r="J20" s="17">
        <f t="shared" si="42"/>
        <v>1085632.8959220089</v>
      </c>
      <c r="K20" s="16">
        <f t="shared" si="44"/>
        <v>-3577.2868272436317</v>
      </c>
      <c r="L20" s="18">
        <f t="shared" si="33"/>
        <v>-3.2842943298733007E-3</v>
      </c>
      <c r="M20" s="19">
        <f t="shared" si="34"/>
        <v>26</v>
      </c>
      <c r="N20" s="50">
        <v>1E-3</v>
      </c>
      <c r="O20" s="29">
        <f t="shared" si="9"/>
        <v>5.5976457556284179E-2</v>
      </c>
      <c r="P20" s="17">
        <f t="shared" si="0"/>
        <v>60769.883720284211</v>
      </c>
      <c r="Q20" s="20">
        <f t="shared" si="43"/>
        <v>-2.2875786242033411E-3</v>
      </c>
      <c r="R20" s="42">
        <f t="shared" si="35"/>
        <v>0.2</v>
      </c>
      <c r="S20" s="17">
        <f t="shared" si="10"/>
        <v>73855.39065682776</v>
      </c>
      <c r="T20" s="42">
        <f t="shared" si="45"/>
        <v>-0.2</v>
      </c>
      <c r="U20" s="17">
        <f t="shared" si="10"/>
        <v>49236.92710455184</v>
      </c>
      <c r="V20" s="42">
        <f t="shared" si="45"/>
        <v>-0.1</v>
      </c>
      <c r="W20" s="42">
        <f t="shared" si="12"/>
        <v>0.1</v>
      </c>
      <c r="X20" s="29">
        <f t="shared" si="13"/>
        <v>5.5976457556284179E-2</v>
      </c>
      <c r="Y20" s="21">
        <f t="shared" si="1"/>
        <v>2.1529406752416992E-3</v>
      </c>
      <c r="Z20" s="17">
        <f t="shared" si="2"/>
        <v>2337.3032200109315</v>
      </c>
      <c r="AA20" s="17">
        <f t="shared" ref="AA20:AL28" si="46">AA19+Z20</f>
        <v>45022.594754368489</v>
      </c>
      <c r="AB20" s="44">
        <v>0</v>
      </c>
      <c r="AC20" s="17">
        <f t="shared" si="14"/>
        <v>0</v>
      </c>
      <c r="AD20" s="17">
        <f t="shared" si="46"/>
        <v>0</v>
      </c>
      <c r="AE20" s="44">
        <v>0.3</v>
      </c>
      <c r="AF20" s="17">
        <f t="shared" si="15"/>
        <v>701.19096600327941</v>
      </c>
      <c r="AG20" s="17">
        <f t="shared" si="46"/>
        <v>13506.778426310546</v>
      </c>
      <c r="AH20" s="44">
        <v>0.7</v>
      </c>
      <c r="AI20" s="17">
        <f t="shared" si="16"/>
        <v>1636.1122540076519</v>
      </c>
      <c r="AJ20" s="17">
        <f t="shared" si="37"/>
        <v>31515.816328057939</v>
      </c>
      <c r="AK20" s="37">
        <f t="shared" si="38"/>
        <v>1153.8461538461538</v>
      </c>
      <c r="AL20" s="17">
        <f t="shared" si="46"/>
        <v>21923.076923076922</v>
      </c>
      <c r="AM20" s="37"/>
      <c r="AN20" s="23">
        <f t="shared" si="17"/>
        <v>2</v>
      </c>
      <c r="AO20" s="37"/>
      <c r="AP20" s="23">
        <f t="shared" si="18"/>
        <v>2</v>
      </c>
      <c r="AQ20" s="37"/>
      <c r="AR20" s="23">
        <f t="shared" si="19"/>
        <v>2</v>
      </c>
      <c r="AS20" s="17">
        <f t="shared" si="20"/>
        <v>3491.1493738570853</v>
      </c>
      <c r="AT20" s="17">
        <f t="shared" si="21"/>
        <v>66951.671677445425</v>
      </c>
      <c r="AU20" s="46">
        <f t="shared" si="39"/>
        <v>24000</v>
      </c>
      <c r="AV20" s="17">
        <f t="shared" si="22"/>
        <v>42951.671677445425</v>
      </c>
      <c r="AW20" s="17">
        <f t="shared" si="40"/>
        <v>5068.0774689445789</v>
      </c>
      <c r="AX20" s="44">
        <f t="shared" si="41"/>
        <v>0.12</v>
      </c>
      <c r="AY20" s="22">
        <f t="shared" si="3"/>
        <v>0.12</v>
      </c>
      <c r="AZ20" s="12">
        <f t="shared" si="23"/>
        <v>0.22</v>
      </c>
    </row>
    <row r="21" spans="1:56" ht="18.75" thickBot="1" x14ac:dyDescent="0.4">
      <c r="A21" s="5">
        <f t="shared" si="24"/>
        <v>43367</v>
      </c>
      <c r="B21" s="37">
        <f t="shared" si="25"/>
        <v>137361.25405313802</v>
      </c>
      <c r="C21" s="18">
        <f t="shared" si="26"/>
        <v>0.12694301863219756</v>
      </c>
      <c r="D21" s="37">
        <f t="shared" si="27"/>
        <v>137665.57429347569</v>
      </c>
      <c r="E21" s="18">
        <f t="shared" si="28"/>
        <v>0.12722425754637051</v>
      </c>
      <c r="F21" s="37">
        <f t="shared" si="29"/>
        <v>768086.29244118987</v>
      </c>
      <c r="G21" s="18">
        <f t="shared" si="30"/>
        <v>0.70983038997866554</v>
      </c>
      <c r="H21" s="38">
        <f t="shared" si="31"/>
        <v>38957.051587142472</v>
      </c>
      <c r="I21" s="18">
        <f t="shared" si="32"/>
        <v>3.6002333842766292E-2</v>
      </c>
      <c r="J21" s="17">
        <f t="shared" si="42"/>
        <v>1082070.1723749461</v>
      </c>
      <c r="K21" s="16">
        <f t="shared" si="44"/>
        <v>-3562.7235470628366</v>
      </c>
      <c r="L21" s="18">
        <f t="shared" si="33"/>
        <v>-3.2817019090390386E-3</v>
      </c>
      <c r="M21" s="19">
        <f t="shared" si="34"/>
        <v>26</v>
      </c>
      <c r="N21" s="50">
        <v>1E-3</v>
      </c>
      <c r="O21" s="29">
        <f t="shared" si="9"/>
        <v>5.6032434013840456E-2</v>
      </c>
      <c r="P21" s="17">
        <f t="shared" si="0"/>
        <v>60631.025531944135</v>
      </c>
      <c r="Q21" s="20">
        <f t="shared" si="43"/>
        <v>-2.2849836109481892E-3</v>
      </c>
      <c r="R21" s="42">
        <f t="shared" si="35"/>
        <v>0.2</v>
      </c>
      <c r="S21" s="17">
        <f t="shared" si="10"/>
        <v>73855.39065682776</v>
      </c>
      <c r="T21" s="42">
        <f t="shared" si="45"/>
        <v>-0.2</v>
      </c>
      <c r="U21" s="17">
        <f t="shared" si="10"/>
        <v>49236.92710455184</v>
      </c>
      <c r="V21" s="42">
        <f t="shared" si="45"/>
        <v>-0.1</v>
      </c>
      <c r="W21" s="42">
        <f t="shared" si="12"/>
        <v>0.1</v>
      </c>
      <c r="X21" s="29">
        <f t="shared" si="13"/>
        <v>5.6032434013840456E-2</v>
      </c>
      <c r="Y21" s="21">
        <f t="shared" si="1"/>
        <v>2.1550936159169406E-3</v>
      </c>
      <c r="Z21" s="17">
        <f t="shared" si="2"/>
        <v>2331.9625204593899</v>
      </c>
      <c r="AA21" s="17">
        <f t="shared" si="46"/>
        <v>47354.557274827879</v>
      </c>
      <c r="AB21" s="44">
        <v>0</v>
      </c>
      <c r="AC21" s="17">
        <f t="shared" si="14"/>
        <v>0</v>
      </c>
      <c r="AD21" s="17">
        <f t="shared" si="46"/>
        <v>0</v>
      </c>
      <c r="AE21" s="44">
        <v>0.3</v>
      </c>
      <c r="AF21" s="17">
        <f t="shared" si="15"/>
        <v>699.58875613781697</v>
      </c>
      <c r="AG21" s="17">
        <f t="shared" si="46"/>
        <v>14206.367182448363</v>
      </c>
      <c r="AH21" s="44">
        <v>0.7</v>
      </c>
      <c r="AI21" s="17">
        <f t="shared" si="16"/>
        <v>1632.3737643215729</v>
      </c>
      <c r="AJ21" s="17">
        <f t="shared" si="37"/>
        <v>33148.190092379511</v>
      </c>
      <c r="AK21" s="37">
        <f t="shared" si="38"/>
        <v>1153.8461538461538</v>
      </c>
      <c r="AL21" s="17">
        <f t="shared" si="46"/>
        <v>23076.923076923074</v>
      </c>
      <c r="AM21" s="37"/>
      <c r="AN21" s="23">
        <f t="shared" si="17"/>
        <v>2</v>
      </c>
      <c r="AO21" s="37"/>
      <c r="AP21" s="23">
        <f t="shared" si="18"/>
        <v>2</v>
      </c>
      <c r="AQ21" s="37"/>
      <c r="AR21" s="23">
        <f t="shared" si="19"/>
        <v>2</v>
      </c>
      <c r="AS21" s="17">
        <f t="shared" si="20"/>
        <v>3485.8086743055437</v>
      </c>
      <c r="AT21" s="17">
        <f t="shared" si="21"/>
        <v>70437.480351750972</v>
      </c>
      <c r="AU21" s="46">
        <f t="shared" si="39"/>
        <v>24000</v>
      </c>
      <c r="AV21" s="17">
        <f t="shared" si="22"/>
        <v>46437.480351750972</v>
      </c>
      <c r="AW21" s="17">
        <f t="shared" si="40"/>
        <v>5486.3745098612444</v>
      </c>
      <c r="AX21" s="44">
        <f t="shared" si="41"/>
        <v>0.12</v>
      </c>
      <c r="AY21" s="22">
        <f t="shared" si="3"/>
        <v>0.12</v>
      </c>
      <c r="AZ21" s="12">
        <f t="shared" si="23"/>
        <v>0.22</v>
      </c>
    </row>
    <row r="22" spans="1:56" ht="18.75" thickBot="1" x14ac:dyDescent="0.4">
      <c r="A22" s="5">
        <f t="shared" si="24"/>
        <v>43381</v>
      </c>
      <c r="B22" s="37">
        <f t="shared" si="25"/>
        <v>136893.69747684177</v>
      </c>
      <c r="C22" s="18">
        <f t="shared" si="26"/>
        <v>0.12692713076241852</v>
      </c>
      <c r="D22" s="37">
        <f t="shared" si="27"/>
        <v>137196.98185789981</v>
      </c>
      <c r="E22" s="18">
        <f t="shared" si="28"/>
        <v>0.12720833447743443</v>
      </c>
      <c r="F22" s="37">
        <f t="shared" si="29"/>
        <v>764774.63740520109</v>
      </c>
      <c r="G22" s="18">
        <f t="shared" si="30"/>
        <v>0.70909510222070349</v>
      </c>
      <c r="H22" s="38">
        <f t="shared" si="31"/>
        <v>39656.640343280291</v>
      </c>
      <c r="I22" s="18">
        <f t="shared" si="32"/>
        <v>3.676943253944364E-2</v>
      </c>
      <c r="J22" s="17">
        <f t="shared" si="42"/>
        <v>1078521.9570832229</v>
      </c>
      <c r="K22" s="16">
        <f t="shared" si="44"/>
        <v>-3548.2152917231433</v>
      </c>
      <c r="L22" s="18">
        <f t="shared" si="33"/>
        <v>-3.2790990661312287E-3</v>
      </c>
      <c r="M22" s="19">
        <f t="shared" si="34"/>
        <v>26</v>
      </c>
      <c r="N22" s="50">
        <v>2E-3</v>
      </c>
      <c r="O22" s="29">
        <f t="shared" si="9"/>
        <v>5.6144498881868135E-2</v>
      </c>
      <c r="P22" s="17">
        <f t="shared" si="0"/>
        <v>60553.074813529245</v>
      </c>
      <c r="Q22" s="20">
        <f t="shared" si="43"/>
        <v>-1.2856572642634999E-3</v>
      </c>
      <c r="R22" s="42">
        <f t="shared" si="35"/>
        <v>0.2</v>
      </c>
      <c r="S22" s="17">
        <f t="shared" si="10"/>
        <v>73855.39065682776</v>
      </c>
      <c r="T22" s="42">
        <f t="shared" si="45"/>
        <v>-0.2</v>
      </c>
      <c r="U22" s="17">
        <f t="shared" si="10"/>
        <v>49236.92710455184</v>
      </c>
      <c r="V22" s="42">
        <f t="shared" si="45"/>
        <v>-0.1</v>
      </c>
      <c r="W22" s="42">
        <f t="shared" si="12"/>
        <v>0.1</v>
      </c>
      <c r="X22" s="29">
        <f t="shared" si="13"/>
        <v>5.6144498881868135E-2</v>
      </c>
      <c r="Y22" s="21">
        <f t="shared" si="1"/>
        <v>2.1594038031487743E-3</v>
      </c>
      <c r="Z22" s="17">
        <f t="shared" si="2"/>
        <v>2328.9644159049708</v>
      </c>
      <c r="AA22" s="17">
        <f t="shared" si="46"/>
        <v>49683.52169073285</v>
      </c>
      <c r="AB22" s="44">
        <v>0</v>
      </c>
      <c r="AC22" s="17">
        <f t="shared" si="14"/>
        <v>0</v>
      </c>
      <c r="AD22" s="17">
        <f t="shared" si="46"/>
        <v>0</v>
      </c>
      <c r="AE22" s="44">
        <v>0.3</v>
      </c>
      <c r="AF22" s="17">
        <f t="shared" si="15"/>
        <v>698.68932477149121</v>
      </c>
      <c r="AG22" s="17">
        <f t="shared" si="46"/>
        <v>14905.056507219853</v>
      </c>
      <c r="AH22" s="44">
        <v>0.7</v>
      </c>
      <c r="AI22" s="17">
        <f t="shared" si="16"/>
        <v>1630.2750911334795</v>
      </c>
      <c r="AJ22" s="17">
        <f t="shared" si="37"/>
        <v>34778.465183512992</v>
      </c>
      <c r="AK22" s="37">
        <f t="shared" si="38"/>
        <v>1153.8461538461538</v>
      </c>
      <c r="AL22" s="17">
        <f t="shared" si="46"/>
        <v>24230.769230769227</v>
      </c>
      <c r="AM22" s="37"/>
      <c r="AN22" s="23">
        <f t="shared" si="17"/>
        <v>2</v>
      </c>
      <c r="AO22" s="37"/>
      <c r="AP22" s="23">
        <f t="shared" si="18"/>
        <v>2</v>
      </c>
      <c r="AQ22" s="37"/>
      <c r="AR22" s="23">
        <f t="shared" si="19"/>
        <v>2</v>
      </c>
      <c r="AS22" s="17">
        <f t="shared" si="20"/>
        <v>3482.8105697511246</v>
      </c>
      <c r="AT22" s="17">
        <f t="shared" si="21"/>
        <v>73920.290921502092</v>
      </c>
      <c r="AU22" s="46">
        <f t="shared" si="39"/>
        <v>24000</v>
      </c>
      <c r="AV22" s="17">
        <f t="shared" si="22"/>
        <v>49920.290921502092</v>
      </c>
      <c r="AW22" s="17">
        <f t="shared" si="40"/>
        <v>5904.3117782313793</v>
      </c>
      <c r="AX22" s="44">
        <f t="shared" si="41"/>
        <v>0.12</v>
      </c>
      <c r="AY22" s="22">
        <f t="shared" si="3"/>
        <v>0.12</v>
      </c>
      <c r="AZ22" s="12">
        <f t="shared" si="23"/>
        <v>0.22</v>
      </c>
    </row>
    <row r="23" spans="1:56" ht="18.75" thickBot="1" x14ac:dyDescent="0.4">
      <c r="A23" s="5">
        <f t="shared" si="24"/>
        <v>43395</v>
      </c>
      <c r="B23" s="37">
        <f t="shared" si="25"/>
        <v>136427.73239119945</v>
      </c>
      <c r="C23" s="18">
        <f t="shared" si="26"/>
        <v>0.12691091185522069</v>
      </c>
      <c r="D23" s="37">
        <f t="shared" si="27"/>
        <v>136729.98443888349</v>
      </c>
      <c r="E23" s="18">
        <f t="shared" si="28"/>
        <v>0.12719207963767487</v>
      </c>
      <c r="F23" s="37">
        <f t="shared" si="29"/>
        <v>761475.1511033097</v>
      </c>
      <c r="G23" s="18">
        <f t="shared" si="30"/>
        <v>0.70835675480190652</v>
      </c>
      <c r="H23" s="38">
        <f t="shared" si="31"/>
        <v>40355.329668051781</v>
      </c>
      <c r="I23" s="18">
        <f t="shared" si="32"/>
        <v>3.7540253705198041E-2</v>
      </c>
      <c r="J23" s="17">
        <f t="shared" si="42"/>
        <v>1074988.1976014443</v>
      </c>
      <c r="K23" s="16">
        <f t="shared" si="44"/>
        <v>-3533.7594817786012</v>
      </c>
      <c r="L23" s="18">
        <f t="shared" si="33"/>
        <v>-3.2764835788187136E-3</v>
      </c>
      <c r="M23" s="19">
        <f t="shared" si="34"/>
        <v>26</v>
      </c>
      <c r="N23" s="50">
        <v>2E-3</v>
      </c>
      <c r="O23" s="29">
        <f t="shared" si="9"/>
        <v>5.625678787963187E-2</v>
      </c>
      <c r="P23" s="17">
        <f t="shared" si="0"/>
        <v>60475.383005572243</v>
      </c>
      <c r="Q23" s="20">
        <f t="shared" si="43"/>
        <v>-1.2830365459764199E-3</v>
      </c>
      <c r="R23" s="42">
        <f t="shared" si="35"/>
        <v>0.2</v>
      </c>
      <c r="S23" s="17">
        <f t="shared" si="10"/>
        <v>73855.39065682776</v>
      </c>
      <c r="T23" s="42">
        <f t="shared" si="45"/>
        <v>-0.2</v>
      </c>
      <c r="U23" s="17">
        <f t="shared" si="10"/>
        <v>49236.92710455184</v>
      </c>
      <c r="V23" s="42">
        <f t="shared" si="45"/>
        <v>-0.1</v>
      </c>
      <c r="W23" s="42">
        <f t="shared" si="12"/>
        <v>0.1</v>
      </c>
      <c r="X23" s="29">
        <f t="shared" si="13"/>
        <v>5.625678787963187E-2</v>
      </c>
      <c r="Y23" s="21">
        <f t="shared" si="1"/>
        <v>2.1637226107550718E-3</v>
      </c>
      <c r="Z23" s="17">
        <f t="shared" si="2"/>
        <v>2325.976269445086</v>
      </c>
      <c r="AA23" s="17">
        <f t="shared" si="46"/>
        <v>52009.497960177934</v>
      </c>
      <c r="AB23" s="44">
        <v>0</v>
      </c>
      <c r="AC23" s="17">
        <f t="shared" si="14"/>
        <v>0</v>
      </c>
      <c r="AD23" s="17">
        <f t="shared" si="46"/>
        <v>0</v>
      </c>
      <c r="AE23" s="44">
        <v>0.3</v>
      </c>
      <c r="AF23" s="17">
        <f t="shared" si="15"/>
        <v>697.79288083352583</v>
      </c>
      <c r="AG23" s="17">
        <f t="shared" si="46"/>
        <v>15602.849388053379</v>
      </c>
      <c r="AH23" s="44">
        <v>0.7</v>
      </c>
      <c r="AI23" s="17">
        <f t="shared" si="16"/>
        <v>1628.1833886115601</v>
      </c>
      <c r="AJ23" s="17">
        <f t="shared" si="37"/>
        <v>36406.648572124555</v>
      </c>
      <c r="AK23" s="37">
        <f t="shared" si="38"/>
        <v>1153.8461538461538</v>
      </c>
      <c r="AL23" s="17">
        <f t="shared" si="46"/>
        <v>25384.615384615379</v>
      </c>
      <c r="AM23" s="37"/>
      <c r="AN23" s="23">
        <f t="shared" si="17"/>
        <v>2</v>
      </c>
      <c r="AO23" s="37"/>
      <c r="AP23" s="23">
        <f t="shared" si="18"/>
        <v>2</v>
      </c>
      <c r="AQ23" s="37"/>
      <c r="AR23" s="23">
        <f t="shared" si="19"/>
        <v>2</v>
      </c>
      <c r="AS23" s="17">
        <f t="shared" si="20"/>
        <v>3479.8224232912398</v>
      </c>
      <c r="AT23" s="17">
        <f t="shared" si="21"/>
        <v>77400.113344793339</v>
      </c>
      <c r="AU23" s="46">
        <f t="shared" si="39"/>
        <v>24000</v>
      </c>
      <c r="AV23" s="17">
        <f t="shared" si="22"/>
        <v>53400.113344793339</v>
      </c>
      <c r="AW23" s="17">
        <f t="shared" si="40"/>
        <v>6321.890469026328</v>
      </c>
      <c r="AX23" s="44">
        <f t="shared" si="41"/>
        <v>0.12</v>
      </c>
      <c r="AY23" s="22">
        <f t="shared" si="3"/>
        <v>0.12</v>
      </c>
      <c r="AZ23" s="12">
        <f t="shared" si="23"/>
        <v>0.22</v>
      </c>
    </row>
    <row r="24" spans="1:56" ht="18.75" thickBot="1" x14ac:dyDescent="0.4">
      <c r="A24" s="5">
        <f t="shared" si="24"/>
        <v>43409</v>
      </c>
      <c r="B24" s="37">
        <f t="shared" si="25"/>
        <v>135963.35337902172</v>
      </c>
      <c r="C24" s="18">
        <f t="shared" si="26"/>
        <v>0.12689436042464858</v>
      </c>
      <c r="D24" s="37">
        <f t="shared" si="27"/>
        <v>136264.57660723577</v>
      </c>
      <c r="E24" s="18">
        <f t="shared" si="28"/>
        <v>0.12717549153784433</v>
      </c>
      <c r="F24" s="37">
        <f t="shared" si="29"/>
        <v>758187.78913775738</v>
      </c>
      <c r="G24" s="18">
        <f t="shared" si="30"/>
        <v>0.70761534040876783</v>
      </c>
      <c r="H24" s="38">
        <f t="shared" si="31"/>
        <v>41053.122548885309</v>
      </c>
      <c r="I24" s="18">
        <f t="shared" si="32"/>
        <v>3.831480762873931E-2</v>
      </c>
      <c r="J24" s="17">
        <f t="shared" si="42"/>
        <v>1071468.8416729001</v>
      </c>
      <c r="K24" s="16">
        <f t="shared" si="44"/>
        <v>-3519.3559285441879</v>
      </c>
      <c r="L24" s="18">
        <f t="shared" si="33"/>
        <v>-3.2738554119912315E-3</v>
      </c>
      <c r="M24" s="19">
        <f t="shared" si="34"/>
        <v>26</v>
      </c>
      <c r="N24" s="50">
        <v>-3.0000000000000001E-3</v>
      </c>
      <c r="O24" s="29">
        <f t="shared" si="9"/>
        <v>5.6088017515992974E-2</v>
      </c>
      <c r="P24" s="17">
        <f t="shared" si="0"/>
        <v>60096.563159590325</v>
      </c>
      <c r="Q24" s="20">
        <f t="shared" si="43"/>
        <v>-6.2640338457552727E-3</v>
      </c>
      <c r="R24" s="42">
        <f t="shared" si="35"/>
        <v>0.2</v>
      </c>
      <c r="S24" s="17">
        <f t="shared" si="10"/>
        <v>73855.39065682776</v>
      </c>
      <c r="T24" s="42">
        <f t="shared" si="45"/>
        <v>-0.2</v>
      </c>
      <c r="U24" s="17">
        <f t="shared" si="10"/>
        <v>49236.92710455184</v>
      </c>
      <c r="V24" s="42">
        <f t="shared" si="45"/>
        <v>-0.1</v>
      </c>
      <c r="W24" s="42">
        <f t="shared" si="12"/>
        <v>0.1</v>
      </c>
      <c r="X24" s="29">
        <f t="shared" si="13"/>
        <v>5.6088017515992974E-2</v>
      </c>
      <c r="Y24" s="21">
        <f t="shared" si="1"/>
        <v>2.1572314429228068E-3</v>
      </c>
      <c r="Z24" s="17">
        <f t="shared" si="2"/>
        <v>2311.406275368859</v>
      </c>
      <c r="AA24" s="17">
        <f t="shared" si="46"/>
        <v>54320.90423554679</v>
      </c>
      <c r="AB24" s="44">
        <v>1</v>
      </c>
      <c r="AC24" s="17">
        <f t="shared" si="14"/>
        <v>2311.406275368859</v>
      </c>
      <c r="AD24" s="17">
        <f t="shared" si="46"/>
        <v>2311.406275368859</v>
      </c>
      <c r="AE24" s="44">
        <v>0</v>
      </c>
      <c r="AF24" s="17">
        <f t="shared" si="15"/>
        <v>0</v>
      </c>
      <c r="AG24" s="17">
        <f t="shared" si="46"/>
        <v>15602.849388053379</v>
      </c>
      <c r="AH24" s="44">
        <v>0</v>
      </c>
      <c r="AI24" s="17">
        <f t="shared" si="16"/>
        <v>0</v>
      </c>
      <c r="AJ24" s="17">
        <f t="shared" si="37"/>
        <v>36406.648572124555</v>
      </c>
      <c r="AK24" s="37">
        <f t="shared" si="38"/>
        <v>1153.8461538461538</v>
      </c>
      <c r="AL24" s="17">
        <f t="shared" si="46"/>
        <v>26538.461538461532</v>
      </c>
      <c r="AM24" s="37"/>
      <c r="AN24" s="23">
        <f t="shared" si="17"/>
        <v>2</v>
      </c>
      <c r="AO24" s="37"/>
      <c r="AP24" s="23">
        <f t="shared" si="18"/>
        <v>2</v>
      </c>
      <c r="AQ24" s="37"/>
      <c r="AR24" s="23">
        <f t="shared" si="19"/>
        <v>2</v>
      </c>
      <c r="AS24" s="17">
        <f t="shared" si="20"/>
        <v>3465.2524292150129</v>
      </c>
      <c r="AT24" s="17">
        <f t="shared" si="21"/>
        <v>80865.365774008358</v>
      </c>
      <c r="AU24" s="46">
        <f t="shared" si="39"/>
        <v>24000</v>
      </c>
      <c r="AV24" s="17">
        <f t="shared" si="22"/>
        <v>56865.365774008358</v>
      </c>
      <c r="AW24" s="17">
        <f t="shared" si="40"/>
        <v>6737.7207605321291</v>
      </c>
      <c r="AX24" s="44">
        <f t="shared" si="41"/>
        <v>0.12</v>
      </c>
      <c r="AY24" s="22">
        <f t="shared" si="3"/>
        <v>0.12</v>
      </c>
      <c r="AZ24" s="12">
        <f t="shared" si="23"/>
        <v>0.22</v>
      </c>
    </row>
    <row r="25" spans="1:56" ht="18.75" thickBot="1" x14ac:dyDescent="0.4">
      <c r="A25" s="5">
        <f t="shared" si="24"/>
        <v>43423</v>
      </c>
      <c r="B25" s="37">
        <f t="shared" si="25"/>
        <v>137804.09364556696</v>
      </c>
      <c r="C25" s="18">
        <f t="shared" si="26"/>
        <v>0.12903470597966721</v>
      </c>
      <c r="D25" s="37">
        <f t="shared" si="27"/>
        <v>135800.75295224576</v>
      </c>
      <c r="E25" s="18">
        <f t="shared" si="28"/>
        <v>0.12715885113021211</v>
      </c>
      <c r="F25" s="37">
        <f t="shared" si="29"/>
        <v>753303.49594379927</v>
      </c>
      <c r="G25" s="18">
        <f t="shared" si="30"/>
        <v>0.70536580257599979</v>
      </c>
      <c r="H25" s="38">
        <f t="shared" si="31"/>
        <v>41053.122548885309</v>
      </c>
      <c r="I25" s="18">
        <f t="shared" si="32"/>
        <v>3.8440640314120818E-2</v>
      </c>
      <c r="J25" s="17">
        <f t="shared" si="42"/>
        <v>1067961.4650904974</v>
      </c>
      <c r="K25" s="16">
        <f t="shared" si="44"/>
        <v>-3507.3765824027359</v>
      </c>
      <c r="L25" s="18">
        <f t="shared" si="33"/>
        <v>-3.2734284432635644E-3</v>
      </c>
      <c r="M25" s="19">
        <f t="shared" si="34"/>
        <v>26</v>
      </c>
      <c r="N25" s="50">
        <v>-3.0000000000000001E-3</v>
      </c>
      <c r="O25" s="29">
        <f t="shared" si="9"/>
        <v>5.5919753463444993E-2</v>
      </c>
      <c r="P25" s="17">
        <f t="shared" si="0"/>
        <v>59720.14183632013</v>
      </c>
      <c r="Q25" s="20">
        <f t="shared" si="43"/>
        <v>-6.2636081579338192E-3</v>
      </c>
      <c r="R25" s="42">
        <f t="shared" si="35"/>
        <v>0.2</v>
      </c>
      <c r="S25" s="17">
        <f t="shared" si="10"/>
        <v>73855.39065682776</v>
      </c>
      <c r="T25" s="42">
        <f t="shared" si="45"/>
        <v>-0.2</v>
      </c>
      <c r="U25" s="17">
        <f t="shared" si="10"/>
        <v>49236.92710455184</v>
      </c>
      <c r="V25" s="42">
        <f t="shared" si="45"/>
        <v>-0.1</v>
      </c>
      <c r="W25" s="42">
        <f t="shared" si="12"/>
        <v>0.1</v>
      </c>
      <c r="X25" s="29">
        <f t="shared" si="13"/>
        <v>5.5919753463444993E-2</v>
      </c>
      <c r="Y25" s="21">
        <f t="shared" si="1"/>
        <v>2.1507597485940382E-3</v>
      </c>
      <c r="Z25" s="17">
        <f t="shared" si="2"/>
        <v>2296.9285321661591</v>
      </c>
      <c r="AA25" s="17">
        <f t="shared" si="46"/>
        <v>56617.832767712949</v>
      </c>
      <c r="AB25" s="44">
        <v>1</v>
      </c>
      <c r="AC25" s="17">
        <f t="shared" si="14"/>
        <v>2296.9285321661591</v>
      </c>
      <c r="AD25" s="17">
        <f t="shared" si="46"/>
        <v>4608.3348075350186</v>
      </c>
      <c r="AE25" s="44">
        <v>0</v>
      </c>
      <c r="AF25" s="17">
        <f t="shared" si="15"/>
        <v>0</v>
      </c>
      <c r="AG25" s="17">
        <f t="shared" si="46"/>
        <v>15602.849388053379</v>
      </c>
      <c r="AH25" s="44">
        <v>0</v>
      </c>
      <c r="AI25" s="17">
        <f t="shared" si="16"/>
        <v>0</v>
      </c>
      <c r="AJ25" s="17">
        <f t="shared" si="37"/>
        <v>36406.648572124555</v>
      </c>
      <c r="AK25" s="37">
        <f t="shared" si="38"/>
        <v>1153.8461538461538</v>
      </c>
      <c r="AL25" s="17">
        <f t="shared" si="46"/>
        <v>27692.307692307684</v>
      </c>
      <c r="AM25" s="37"/>
      <c r="AN25" s="23">
        <f t="shared" si="17"/>
        <v>2</v>
      </c>
      <c r="AO25" s="37"/>
      <c r="AP25" s="23">
        <f t="shared" si="18"/>
        <v>2</v>
      </c>
      <c r="AQ25" s="37"/>
      <c r="AR25" s="23">
        <f t="shared" si="19"/>
        <v>2</v>
      </c>
      <c r="AS25" s="17">
        <f t="shared" si="20"/>
        <v>3450.7746860123129</v>
      </c>
      <c r="AT25" s="17">
        <f t="shared" si="21"/>
        <v>84316.140460020673</v>
      </c>
      <c r="AU25" s="46">
        <f t="shared" si="39"/>
        <v>24000</v>
      </c>
      <c r="AV25" s="17">
        <f t="shared" si="22"/>
        <v>60316.140460020673</v>
      </c>
      <c r="AW25" s="17">
        <f t="shared" si="40"/>
        <v>7151.813722853607</v>
      </c>
      <c r="AX25" s="44">
        <f t="shared" si="41"/>
        <v>0.12</v>
      </c>
      <c r="AY25" s="22">
        <f t="shared" si="3"/>
        <v>0.12</v>
      </c>
      <c r="AZ25" s="12">
        <f t="shared" si="23"/>
        <v>0.22</v>
      </c>
    </row>
    <row r="26" spans="1:56" ht="18.75" thickBot="1" x14ac:dyDescent="0.4">
      <c r="A26" s="5">
        <f t="shared" si="24"/>
        <v>43437</v>
      </c>
      <c r="B26" s="37">
        <f t="shared" si="25"/>
        <v>139624.13985224353</v>
      </c>
      <c r="C26" s="18">
        <f t="shared" si="26"/>
        <v>0.13116824426559362</v>
      </c>
      <c r="D26" s="37">
        <f t="shared" si="27"/>
        <v>135338.50808161986</v>
      </c>
      <c r="E26" s="18">
        <f t="shared" si="28"/>
        <v>0.12714215826415837</v>
      </c>
      <c r="F26" s="37">
        <f t="shared" si="29"/>
        <v>748450.25659563579</v>
      </c>
      <c r="G26" s="18">
        <f t="shared" si="30"/>
        <v>0.70312272778671014</v>
      </c>
      <c r="H26" s="38">
        <f t="shared" si="31"/>
        <v>41053.122548885309</v>
      </c>
      <c r="I26" s="18">
        <f t="shared" si="32"/>
        <v>3.8566869683537834E-2</v>
      </c>
      <c r="J26" s="17">
        <f t="shared" si="42"/>
        <v>1064466.0270783845</v>
      </c>
      <c r="K26" s="16">
        <f t="shared" si="44"/>
        <v>-3495.4380121128634</v>
      </c>
      <c r="L26" s="18">
        <f t="shared" si="33"/>
        <v>-3.2730001281616144E-3</v>
      </c>
      <c r="M26" s="19">
        <f t="shared" si="34"/>
        <v>26</v>
      </c>
      <c r="N26" s="50">
        <v>-3.0000000000000001E-3</v>
      </c>
      <c r="O26" s="29">
        <f t="shared" si="9"/>
        <v>5.5751994203054656E-2</v>
      </c>
      <c r="P26" s="17">
        <f t="shared" si="0"/>
        <v>59346.103771022717</v>
      </c>
      <c r="Q26" s="20">
        <f t="shared" si="43"/>
        <v>-6.2631811277771132E-3</v>
      </c>
      <c r="R26" s="42">
        <f t="shared" si="35"/>
        <v>0.2</v>
      </c>
      <c r="S26" s="17">
        <f t="shared" si="10"/>
        <v>73855.39065682776</v>
      </c>
      <c r="T26" s="42">
        <f t="shared" si="45"/>
        <v>-0.2</v>
      </c>
      <c r="U26" s="17">
        <f t="shared" si="10"/>
        <v>49236.92710455184</v>
      </c>
      <c r="V26" s="42">
        <f t="shared" si="45"/>
        <v>-0.1</v>
      </c>
      <c r="W26" s="42">
        <f t="shared" si="12"/>
        <v>0.1</v>
      </c>
      <c r="X26" s="29">
        <f t="shared" si="13"/>
        <v>5.5751994203054656E-2</v>
      </c>
      <c r="Y26" s="21">
        <f t="shared" si="1"/>
        <v>2.1443074693482558E-3</v>
      </c>
      <c r="Z26" s="17">
        <f t="shared" si="2"/>
        <v>2282.5424527316427</v>
      </c>
      <c r="AA26" s="17">
        <f t="shared" si="46"/>
        <v>58900.375220444592</v>
      </c>
      <c r="AB26" s="44">
        <v>0.5</v>
      </c>
      <c r="AC26" s="17">
        <f t="shared" si="14"/>
        <v>1141.2712263658213</v>
      </c>
      <c r="AD26" s="17">
        <f t="shared" si="46"/>
        <v>5749.60603390084</v>
      </c>
      <c r="AE26" s="44">
        <v>0.5</v>
      </c>
      <c r="AF26" s="17">
        <f t="shared" si="15"/>
        <v>1141.2712263658213</v>
      </c>
      <c r="AG26" s="17">
        <f t="shared" si="46"/>
        <v>16744.1206144192</v>
      </c>
      <c r="AH26" s="44">
        <v>0</v>
      </c>
      <c r="AI26" s="17">
        <f t="shared" si="16"/>
        <v>0</v>
      </c>
      <c r="AJ26" s="17">
        <f t="shared" si="37"/>
        <v>36406.648572124555</v>
      </c>
      <c r="AK26" s="37">
        <f t="shared" si="38"/>
        <v>1153.8461538461538</v>
      </c>
      <c r="AL26" s="17">
        <f t="shared" si="46"/>
        <v>28846.153846153837</v>
      </c>
      <c r="AM26" s="37"/>
      <c r="AN26" s="23">
        <f t="shared" si="17"/>
        <v>2</v>
      </c>
      <c r="AO26" s="37"/>
      <c r="AP26" s="23">
        <f t="shared" si="18"/>
        <v>2</v>
      </c>
      <c r="AQ26" s="37"/>
      <c r="AR26" s="23">
        <f t="shared" si="19"/>
        <v>2</v>
      </c>
      <c r="AS26" s="17">
        <f t="shared" si="20"/>
        <v>3436.3886065777965</v>
      </c>
      <c r="AT26" s="17">
        <f t="shared" si="21"/>
        <v>87752.529066598479</v>
      </c>
      <c r="AU26" s="46">
        <f t="shared" si="39"/>
        <v>24000</v>
      </c>
      <c r="AV26" s="17">
        <f t="shared" si="22"/>
        <v>63752.529066598479</v>
      </c>
      <c r="AW26" s="17">
        <f t="shared" si="40"/>
        <v>7564.1803556429422</v>
      </c>
      <c r="AX26" s="44">
        <f t="shared" si="41"/>
        <v>0.12</v>
      </c>
      <c r="AY26" s="22">
        <f t="shared" si="3"/>
        <v>0.12</v>
      </c>
      <c r="AZ26" s="12">
        <f t="shared" si="23"/>
        <v>0.22</v>
      </c>
    </row>
    <row r="27" spans="1:56" ht="18.75" thickBot="1" x14ac:dyDescent="0.4">
      <c r="A27" s="5">
        <f t="shared" si="24"/>
        <v>43451</v>
      </c>
      <c r="B27" s="37">
        <f t="shared" si="25"/>
        <v>140286.26727551487</v>
      </c>
      <c r="C27" s="18">
        <f t="shared" si="26"/>
        <v>0.13222249692920979</v>
      </c>
      <c r="D27" s="37">
        <f t="shared" si="27"/>
        <v>134877.83662141897</v>
      </c>
      <c r="E27" s="18">
        <f t="shared" si="28"/>
        <v>0.12712494732979968</v>
      </c>
      <c r="F27" s="37">
        <f t="shared" si="29"/>
        <v>743627.87403899466</v>
      </c>
      <c r="G27" s="18">
        <f t="shared" si="30"/>
        <v>0.70088353052043173</v>
      </c>
      <c r="H27" s="38">
        <f t="shared" si="31"/>
        <v>42194.393775251126</v>
      </c>
      <c r="I27" s="18">
        <f t="shared" si="32"/>
        <v>3.9769025220558848E-2</v>
      </c>
      <c r="J27" s="17">
        <f t="shared" si="42"/>
        <v>1060986.3717111796</v>
      </c>
      <c r="K27" s="16">
        <f t="shared" si="44"/>
        <v>-3479.6553672049195</v>
      </c>
      <c r="L27" s="18">
        <f t="shared" si="33"/>
        <v>-3.2689210164418771E-3</v>
      </c>
      <c r="M27" s="19">
        <f t="shared" si="34"/>
        <v>26</v>
      </c>
      <c r="N27" s="50">
        <v>-3.0000000000000001E-3</v>
      </c>
      <c r="O27" s="29">
        <f t="shared" si="9"/>
        <v>5.558473822044549E-2</v>
      </c>
      <c r="P27" s="17">
        <f t="shared" si="0"/>
        <v>58974.64972702619</v>
      </c>
      <c r="Q27" s="20">
        <f t="shared" si="43"/>
        <v>-6.2591142533926503E-3</v>
      </c>
      <c r="R27" s="42">
        <f t="shared" si="35"/>
        <v>0.2</v>
      </c>
      <c r="S27" s="17">
        <f t="shared" si="10"/>
        <v>73855.39065682776</v>
      </c>
      <c r="T27" s="42">
        <f t="shared" si="45"/>
        <v>-0.2</v>
      </c>
      <c r="U27" s="17">
        <f t="shared" si="10"/>
        <v>49236.92710455184</v>
      </c>
      <c r="V27" s="42">
        <f t="shared" si="45"/>
        <v>-0.1</v>
      </c>
      <c r="W27" s="42">
        <f t="shared" si="12"/>
        <v>0.1</v>
      </c>
      <c r="X27" s="29">
        <f t="shared" si="13"/>
        <v>5.558473822044549E-2</v>
      </c>
      <c r="Y27" s="21">
        <f t="shared" si="1"/>
        <v>2.1378745469402111E-3</v>
      </c>
      <c r="Z27" s="17">
        <f t="shared" si="2"/>
        <v>2268.2557587317765</v>
      </c>
      <c r="AA27" s="17">
        <f t="shared" si="46"/>
        <v>61168.630979176371</v>
      </c>
      <c r="AB27" s="44">
        <v>0.5</v>
      </c>
      <c r="AC27" s="17">
        <f t="shared" si="14"/>
        <v>1134.1278793658882</v>
      </c>
      <c r="AD27" s="17">
        <f t="shared" si="46"/>
        <v>6883.7339132667285</v>
      </c>
      <c r="AE27" s="44">
        <v>0.5</v>
      </c>
      <c r="AF27" s="17">
        <f t="shared" si="15"/>
        <v>1134.1278793658882</v>
      </c>
      <c r="AG27" s="17">
        <f t="shared" si="46"/>
        <v>17878.24849378509</v>
      </c>
      <c r="AH27" s="44">
        <v>0</v>
      </c>
      <c r="AI27" s="17">
        <f t="shared" si="16"/>
        <v>0</v>
      </c>
      <c r="AJ27" s="17">
        <f t="shared" si="37"/>
        <v>36406.648572124555</v>
      </c>
      <c r="AK27" s="37">
        <f t="shared" si="38"/>
        <v>1153.8461538461538</v>
      </c>
      <c r="AL27" s="17">
        <f t="shared" si="46"/>
        <v>29999.999999999989</v>
      </c>
      <c r="AM27" s="37"/>
      <c r="AN27" s="23">
        <f t="shared" si="17"/>
        <v>2</v>
      </c>
      <c r="AO27" s="37"/>
      <c r="AP27" s="23">
        <f t="shared" si="18"/>
        <v>2</v>
      </c>
      <c r="AQ27" s="37"/>
      <c r="AR27" s="23">
        <f t="shared" si="19"/>
        <v>2</v>
      </c>
      <c r="AS27" s="17">
        <f t="shared" si="20"/>
        <v>3422.1019125779303</v>
      </c>
      <c r="AT27" s="17">
        <f t="shared" si="21"/>
        <v>91174.630979176407</v>
      </c>
      <c r="AU27" s="46">
        <f t="shared" si="39"/>
        <v>24000</v>
      </c>
      <c r="AV27" s="17">
        <f t="shared" si="22"/>
        <v>67174.630979176407</v>
      </c>
      <c r="AW27" s="17">
        <f t="shared" si="40"/>
        <v>7974.8325851522941</v>
      </c>
      <c r="AX27" s="44">
        <f t="shared" si="41"/>
        <v>0.12</v>
      </c>
      <c r="AY27" s="22">
        <f t="shared" si="3"/>
        <v>0.12</v>
      </c>
      <c r="AZ27" s="12">
        <f t="shared" si="23"/>
        <v>0.22</v>
      </c>
    </row>
    <row r="28" spans="1:56" ht="18.75" thickBot="1" x14ac:dyDescent="0.4">
      <c r="A28" s="5">
        <f t="shared" si="24"/>
        <v>43465</v>
      </c>
      <c r="B28" s="37">
        <f t="shared" si="25"/>
        <v>140939.02188675743</v>
      </c>
      <c r="C28" s="18">
        <f t="shared" si="26"/>
        <v>0.13327284518453733</v>
      </c>
      <c r="D28" s="37">
        <f t="shared" si="27"/>
        <v>134418.73321599606</v>
      </c>
      <c r="E28" s="18">
        <f t="shared" si="28"/>
        <v>0.12710721829892516</v>
      </c>
      <c r="F28" s="37">
        <f t="shared" si="29"/>
        <v>738836.14419496281</v>
      </c>
      <c r="G28" s="18">
        <f t="shared" si="30"/>
        <v>0.69864820788349513</v>
      </c>
      <c r="H28" s="38">
        <f t="shared" si="31"/>
        <v>43328.521654617012</v>
      </c>
      <c r="I28" s="18">
        <f t="shared" si="32"/>
        <v>4.0971728633042381E-2</v>
      </c>
      <c r="J28" s="17">
        <f t="shared" si="42"/>
        <v>1057522.4209523334</v>
      </c>
      <c r="K28" s="16">
        <f t="shared" si="44"/>
        <v>-3463.9507588462438</v>
      </c>
      <c r="L28" s="18">
        <f t="shared" si="33"/>
        <v>-3.2648400122798149E-3</v>
      </c>
      <c r="M28" s="19">
        <f t="shared" si="34"/>
        <v>26</v>
      </c>
      <c r="N28" s="50">
        <v>-3.0000000000000001E-3</v>
      </c>
      <c r="O28" s="29">
        <f t="shared" si="9"/>
        <v>5.5417984005784154E-2</v>
      </c>
      <c r="P28" s="17">
        <f t="shared" si="0"/>
        <v>58605.760610094549</v>
      </c>
      <c r="Q28" s="20">
        <f t="shared" si="43"/>
        <v>-6.2550454922429347E-3</v>
      </c>
      <c r="R28" s="42">
        <f t="shared" si="35"/>
        <v>0.2</v>
      </c>
      <c r="S28" s="17">
        <f t="shared" si="10"/>
        <v>73855.39065682776</v>
      </c>
      <c r="T28" s="42">
        <f t="shared" si="45"/>
        <v>-0.2</v>
      </c>
      <c r="U28" s="17">
        <f t="shared" si="10"/>
        <v>49236.92710455184</v>
      </c>
      <c r="V28" s="42">
        <f t="shared" si="45"/>
        <v>-0.1</v>
      </c>
      <c r="W28" s="42">
        <f t="shared" si="12"/>
        <v>0.1</v>
      </c>
      <c r="X28" s="29">
        <f t="shared" si="13"/>
        <v>5.5417984005784154E-2</v>
      </c>
      <c r="Y28" s="21">
        <f t="shared" si="1"/>
        <v>2.1314609232993905E-3</v>
      </c>
      <c r="Z28" s="17">
        <f t="shared" si="2"/>
        <v>2254.0677157728674</v>
      </c>
      <c r="AA28" s="17">
        <f t="shared" si="46"/>
        <v>63422.698694949235</v>
      </c>
      <c r="AB28" s="44">
        <v>0.5</v>
      </c>
      <c r="AC28" s="17">
        <f t="shared" si="14"/>
        <v>1127.0338578864337</v>
      </c>
      <c r="AD28" s="17">
        <f t="shared" si="46"/>
        <v>8010.7677711531624</v>
      </c>
      <c r="AE28" s="44">
        <v>0.5</v>
      </c>
      <c r="AF28" s="17">
        <f t="shared" si="15"/>
        <v>1127.0338578864337</v>
      </c>
      <c r="AG28" s="17">
        <f t="shared" si="46"/>
        <v>19005.282351671522</v>
      </c>
      <c r="AH28" s="44">
        <v>0</v>
      </c>
      <c r="AI28" s="17">
        <f t="shared" si="16"/>
        <v>0</v>
      </c>
      <c r="AJ28" s="17">
        <f t="shared" si="37"/>
        <v>36406.648572124555</v>
      </c>
      <c r="AK28" s="47">
        <f t="shared" si="38"/>
        <v>1153.8461538461538</v>
      </c>
      <c r="AL28" s="17">
        <f t="shared" si="46"/>
        <v>31153.846153846142</v>
      </c>
      <c r="AM28" s="47"/>
      <c r="AN28" s="23">
        <f t="shared" si="17"/>
        <v>2</v>
      </c>
      <c r="AO28" s="47"/>
      <c r="AP28" s="23">
        <f t="shared" si="18"/>
        <v>2</v>
      </c>
      <c r="AQ28" s="47"/>
      <c r="AR28" s="23">
        <f t="shared" si="19"/>
        <v>2</v>
      </c>
      <c r="AS28" s="17">
        <f t="shared" si="20"/>
        <v>3407.9138696190212</v>
      </c>
      <c r="AT28" s="17">
        <f t="shared" si="21"/>
        <v>94582.544848795427</v>
      </c>
      <c r="AU28" s="46">
        <f t="shared" si="39"/>
        <v>24000</v>
      </c>
      <c r="AV28" s="17">
        <f t="shared" si="22"/>
        <v>70582.544848795427</v>
      </c>
      <c r="AW28" s="17">
        <f t="shared" si="40"/>
        <v>8383.7822495065775</v>
      </c>
      <c r="AX28" s="44">
        <f t="shared" si="41"/>
        <v>0.12</v>
      </c>
      <c r="AY28" s="22">
        <f t="shared" si="3"/>
        <v>0.12</v>
      </c>
      <c r="AZ28" s="12">
        <f t="shared" si="23"/>
        <v>0.22</v>
      </c>
    </row>
    <row r="29" spans="1:56" ht="18.75" thickBot="1" x14ac:dyDescent="0.4">
      <c r="A29" s="51" t="s">
        <v>13</v>
      </c>
      <c r="Y29" s="52">
        <f>SUM(Y2:Y28)</f>
        <v>5.7459750545493044E-2</v>
      </c>
      <c r="Z29" s="31">
        <f>SUM(Z2:Z28)</f>
        <v>63422.698694949235</v>
      </c>
      <c r="AC29" s="27">
        <f>SUM(AC2:AC28)</f>
        <v>8010.7677711531624</v>
      </c>
      <c r="AF29" s="31">
        <f>SUM(AF2:AF28)</f>
        <v>19005.282351671522</v>
      </c>
      <c r="AI29" s="31">
        <f>SUM(AI2:AI28)</f>
        <v>36406.648572124555</v>
      </c>
      <c r="AK29" s="27">
        <f>SUM(AK2:AK28)</f>
        <v>31153.846153846142</v>
      </c>
      <c r="AM29" s="31">
        <f>SUM(AM2:AM28)</f>
        <v>2</v>
      </c>
      <c r="AO29" s="31">
        <f>SUM(AO2:AO28)</f>
        <v>2</v>
      </c>
      <c r="AQ29" s="31">
        <f>SUM(AQ2:AQ28)</f>
        <v>2</v>
      </c>
      <c r="AS29" s="27">
        <f>SUM(AS2:AS28)</f>
        <v>94582.544848795398</v>
      </c>
    </row>
    <row r="31" spans="1:56" x14ac:dyDescent="0.3">
      <c r="BD31" s="1"/>
    </row>
    <row r="32" spans="1:56" x14ac:dyDescent="0.3">
      <c r="K32" s="28"/>
    </row>
  </sheetData>
  <conditionalFormatting sqref="AY2:AZ28">
    <cfRule type="cellIs" dxfId="13" priority="1" operator="greaterThan">
      <formula>$AX$2</formula>
    </cfRule>
    <cfRule type="cellIs" dxfId="12" priority="2" operator="greaterThan">
      <formula>"2$AS$2"</formula>
    </cfRule>
  </conditionalFormatting>
  <pageMargins left="0.75" right="0.75" top="0.75" bottom="0.5" header="0.5" footer="0.75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20C00-53A0-4AF5-A94E-071583DD7B3D}">
  <sheetPr>
    <tabColor rgb="FF00B0F0"/>
  </sheetPr>
  <dimension ref="A1:BD32"/>
  <sheetViews>
    <sheetView workbookViewId="0"/>
  </sheetViews>
  <sheetFormatPr defaultColWidth="13.28515625" defaultRowHeight="16.5" x14ac:dyDescent="0.3"/>
  <cols>
    <col min="1" max="1" width="14" style="1" bestFit="1" customWidth="1"/>
    <col min="2" max="2" width="16.85546875" style="24" bestFit="1" customWidth="1"/>
    <col min="3" max="3" width="9.28515625" style="24" bestFit="1" customWidth="1"/>
    <col min="4" max="4" width="16.85546875" style="24" bestFit="1" customWidth="1"/>
    <col min="5" max="5" width="10.7109375" style="24" bestFit="1" customWidth="1"/>
    <col min="6" max="6" width="16.85546875" style="24" bestFit="1" customWidth="1"/>
    <col min="7" max="7" width="15.7109375" style="24" bestFit="1" customWidth="1"/>
    <col min="8" max="8" width="15.5703125" style="24" bestFit="1" customWidth="1"/>
    <col min="9" max="9" width="6.5703125" style="24" bestFit="1" customWidth="1"/>
    <col min="10" max="10" width="19.28515625" style="24" bestFit="1" customWidth="1"/>
    <col min="11" max="11" width="15.5703125" style="24" bestFit="1" customWidth="1"/>
    <col min="12" max="12" width="6.7109375" style="24" bestFit="1" customWidth="1"/>
    <col min="13" max="13" width="8.5703125" style="24" customWidth="1"/>
    <col min="14" max="14" width="7.85546875" style="24" bestFit="1" customWidth="1"/>
    <col min="15" max="15" width="13" style="24" bestFit="1" customWidth="1"/>
    <col min="16" max="16" width="15.5703125" style="24" bestFit="1" customWidth="1"/>
    <col min="17" max="17" width="13" style="24" bestFit="1" customWidth="1"/>
    <col min="18" max="18" width="9.140625" style="24" bestFit="1" customWidth="1"/>
    <col min="19" max="19" width="16.28515625" style="24" bestFit="1" customWidth="1"/>
    <col min="20" max="20" width="10.42578125" style="24" bestFit="1" customWidth="1"/>
    <col min="21" max="21" width="15.5703125" style="24" bestFit="1" customWidth="1"/>
    <col min="22" max="22" width="10.42578125" style="24" bestFit="1" customWidth="1"/>
    <col min="23" max="23" width="11" style="24" bestFit="1" customWidth="1"/>
    <col min="24" max="25" width="13.140625" style="24" bestFit="1" customWidth="1"/>
    <col min="26" max="27" width="15.5703125" style="24" bestFit="1" customWidth="1"/>
    <col min="28" max="28" width="7.7109375" style="24" bestFit="1" customWidth="1"/>
    <col min="29" max="30" width="14.28515625" style="24" bestFit="1" customWidth="1"/>
    <col min="31" max="31" width="7.28515625" style="24" bestFit="1" customWidth="1"/>
    <col min="32" max="33" width="15.5703125" style="24" bestFit="1" customWidth="1"/>
    <col min="34" max="34" width="7.140625" style="24" bestFit="1" customWidth="1"/>
    <col min="35" max="38" width="15.5703125" style="24" bestFit="1" customWidth="1"/>
    <col min="39" max="40" width="9.85546875" style="24" bestFit="1" customWidth="1"/>
    <col min="41" max="42" width="11.85546875" style="24" bestFit="1" customWidth="1"/>
    <col min="43" max="44" width="9.28515625" style="24" bestFit="1" customWidth="1"/>
    <col min="45" max="46" width="16.85546875" style="24" bestFit="1" customWidth="1"/>
    <col min="47" max="47" width="15.5703125" style="24" bestFit="1" customWidth="1"/>
    <col min="48" max="49" width="16.42578125" style="24" bestFit="1" customWidth="1"/>
    <col min="50" max="50" width="8.140625" style="24" bestFit="1" customWidth="1"/>
    <col min="51" max="52" width="5.5703125" style="24" bestFit="1" customWidth="1"/>
    <col min="53" max="53" width="8.42578125" style="24" customWidth="1"/>
    <col min="54" max="54" width="6" style="24" bestFit="1" customWidth="1"/>
    <col min="55" max="55" width="15.7109375" style="24" bestFit="1" customWidth="1"/>
    <col min="56" max="56" width="18.7109375" style="24" bestFit="1" customWidth="1"/>
    <col min="57" max="57" width="23.85546875" style="1" bestFit="1" customWidth="1"/>
    <col min="58" max="16384" width="13.28515625" style="1"/>
  </cols>
  <sheetData>
    <row r="1" spans="1:56" s="2" customFormat="1" ht="54.75" thickBot="1" x14ac:dyDescent="0.35">
      <c r="A1" s="3" t="s">
        <v>5</v>
      </c>
      <c r="B1" s="3" t="s">
        <v>1</v>
      </c>
      <c r="C1" s="3" t="s">
        <v>1</v>
      </c>
      <c r="D1" s="3" t="s">
        <v>4</v>
      </c>
      <c r="E1" s="3" t="s">
        <v>4</v>
      </c>
      <c r="F1" s="3" t="s">
        <v>3</v>
      </c>
      <c r="G1" s="3" t="s">
        <v>3</v>
      </c>
      <c r="H1" s="3" t="s">
        <v>0</v>
      </c>
      <c r="I1" s="3" t="s">
        <v>0</v>
      </c>
      <c r="J1" s="3" t="s">
        <v>9</v>
      </c>
      <c r="K1" s="3" t="s">
        <v>11</v>
      </c>
      <c r="L1" s="3" t="s">
        <v>11</v>
      </c>
      <c r="M1" s="3" t="s">
        <v>31</v>
      </c>
      <c r="N1" s="3" t="s">
        <v>24</v>
      </c>
      <c r="O1" s="39" t="s">
        <v>15</v>
      </c>
      <c r="P1" s="3" t="s">
        <v>15</v>
      </c>
      <c r="Q1" s="3" t="s">
        <v>28</v>
      </c>
      <c r="R1" s="3" t="s">
        <v>16</v>
      </c>
      <c r="S1" s="3" t="s">
        <v>16</v>
      </c>
      <c r="T1" s="3" t="s">
        <v>17</v>
      </c>
      <c r="U1" s="3" t="s">
        <v>19</v>
      </c>
      <c r="V1" s="3" t="s">
        <v>29</v>
      </c>
      <c r="W1" s="3" t="s">
        <v>30</v>
      </c>
      <c r="X1" s="3" t="s">
        <v>18</v>
      </c>
      <c r="Y1" s="3" t="s">
        <v>32</v>
      </c>
      <c r="Z1" s="3" t="s">
        <v>10</v>
      </c>
      <c r="AA1" s="3" t="s">
        <v>27</v>
      </c>
      <c r="AB1" s="3" t="s">
        <v>7</v>
      </c>
      <c r="AC1" s="3" t="s">
        <v>7</v>
      </c>
      <c r="AD1" s="3" t="s">
        <v>26</v>
      </c>
      <c r="AE1" s="3" t="s">
        <v>39</v>
      </c>
      <c r="AF1" s="3" t="s">
        <v>39</v>
      </c>
      <c r="AG1" s="3" t="s">
        <v>40</v>
      </c>
      <c r="AH1" s="3" t="s">
        <v>41</v>
      </c>
      <c r="AI1" s="3" t="s">
        <v>41</v>
      </c>
      <c r="AJ1" s="3" t="s">
        <v>42</v>
      </c>
      <c r="AK1" s="3" t="s">
        <v>2</v>
      </c>
      <c r="AL1" s="3" t="s">
        <v>25</v>
      </c>
      <c r="AM1" s="3" t="s">
        <v>8</v>
      </c>
      <c r="AN1" s="3" t="s">
        <v>35</v>
      </c>
      <c r="AO1" s="3" t="s">
        <v>12</v>
      </c>
      <c r="AP1" s="3" t="s">
        <v>36</v>
      </c>
      <c r="AQ1" s="3" t="s">
        <v>37</v>
      </c>
      <c r="AR1" s="3" t="s">
        <v>37</v>
      </c>
      <c r="AS1" s="3" t="s">
        <v>64</v>
      </c>
      <c r="AT1" s="3" t="s">
        <v>33</v>
      </c>
      <c r="AU1" s="3" t="s">
        <v>38</v>
      </c>
      <c r="AV1" s="3" t="s">
        <v>34</v>
      </c>
      <c r="AW1" s="3" t="s">
        <v>63</v>
      </c>
      <c r="AX1" s="3" t="s">
        <v>6</v>
      </c>
      <c r="AY1" s="3" t="s">
        <v>22</v>
      </c>
      <c r="AZ1" s="3" t="s">
        <v>23</v>
      </c>
      <c r="BA1" s="6"/>
      <c r="BB1" s="3" t="s">
        <v>14</v>
      </c>
      <c r="BC1" s="3" t="s">
        <v>20</v>
      </c>
      <c r="BD1" s="3" t="s">
        <v>21</v>
      </c>
    </row>
    <row r="2" spans="1:56" s="4" customFormat="1" ht="18.75" thickBot="1" x14ac:dyDescent="0.4">
      <c r="A2" s="34">
        <v>43466</v>
      </c>
      <c r="B2" s="35">
        <f>'GK Cash Flow 2018'!B28</f>
        <v>140939.02188675743</v>
      </c>
      <c r="C2" s="10">
        <f>IF(J2&lt;=0,0,B2/J2)</f>
        <v>0.13327284518453733</v>
      </c>
      <c r="D2" s="35">
        <f>'GK Cash Flow 2018'!D28</f>
        <v>134418.73321599606</v>
      </c>
      <c r="E2" s="10">
        <f>IF(J2&lt;=0,0,D2/J2)</f>
        <v>0.12710721829892516</v>
      </c>
      <c r="F2" s="35">
        <f>'GK Cash Flow 2018'!F28</f>
        <v>738836.14419496281</v>
      </c>
      <c r="G2" s="10">
        <f>IF(J2&lt;=0,0,F2/J2)</f>
        <v>0.69864820788349513</v>
      </c>
      <c r="H2" s="35">
        <f>'GK Cash Flow 2018'!H28</f>
        <v>43328.521654617012</v>
      </c>
      <c r="I2" s="10">
        <f>IF(J2&lt;=0,0,H2/J2)</f>
        <v>4.0971728633042381E-2</v>
      </c>
      <c r="J2" s="9">
        <f>B2+D2+F2+H2</f>
        <v>1057522.4209523334</v>
      </c>
      <c r="K2" s="7">
        <v>0</v>
      </c>
      <c r="L2" s="10">
        <v>0</v>
      </c>
      <c r="M2" s="48">
        <v>26</v>
      </c>
      <c r="N2" s="49">
        <v>2E-3</v>
      </c>
      <c r="O2" s="40">
        <f>'GK Cash Flow 2018'!Y29</f>
        <v>5.7459750545493044E-2</v>
      </c>
      <c r="P2" s="9">
        <f t="shared" ref="P2:P28" si="0">J2*O2</f>
        <v>60764.974504186961</v>
      </c>
      <c r="Q2" s="8">
        <v>0</v>
      </c>
      <c r="R2" s="41">
        <v>0.2</v>
      </c>
      <c r="S2" s="9">
        <f>IF($P$2&gt;0,$P$2+$P$2*R2)</f>
        <v>72917.969405024356</v>
      </c>
      <c r="T2" s="41">
        <v>-0.2</v>
      </c>
      <c r="U2" s="9">
        <f>IF($P$2&gt;0,$P$2+$P$2*T2)</f>
        <v>48611.979603349566</v>
      </c>
      <c r="V2" s="41">
        <v>-0.1</v>
      </c>
      <c r="W2" s="41">
        <v>0.1</v>
      </c>
      <c r="X2" s="30">
        <f>O2</f>
        <v>5.7459750545493044E-2</v>
      </c>
      <c r="Y2" s="11">
        <f t="shared" ref="Y2:Y28" si="1">X2/M2</f>
        <v>2.2099904055958861E-3</v>
      </c>
      <c r="Z2" s="9">
        <f t="shared" ref="Z2:Z28" si="2">Y2*J2</f>
        <v>2337.1144040071904</v>
      </c>
      <c r="AA2" s="9">
        <f>Z2</f>
        <v>2337.1144040071904</v>
      </c>
      <c r="AB2" s="43">
        <v>0</v>
      </c>
      <c r="AC2" s="9">
        <f>Z2*AB2</f>
        <v>0</v>
      </c>
      <c r="AD2" s="9">
        <f>AC2</f>
        <v>0</v>
      </c>
      <c r="AE2" s="43">
        <v>0.3</v>
      </c>
      <c r="AF2" s="9">
        <f>Z2*AE2</f>
        <v>701.13432120215714</v>
      </c>
      <c r="AG2" s="9">
        <f>AF2</f>
        <v>701.13432120215714</v>
      </c>
      <c r="AH2" s="43">
        <v>0.7</v>
      </c>
      <c r="AI2" s="9">
        <f>Z2*AH2</f>
        <v>1635.9800828050331</v>
      </c>
      <c r="AJ2" s="9">
        <f>AI2</f>
        <v>1635.9800828050331</v>
      </c>
      <c r="AK2" s="36">
        <f>30000/M2</f>
        <v>1153.8461538461538</v>
      </c>
      <c r="AL2" s="9">
        <f>AK2</f>
        <v>1153.8461538461538</v>
      </c>
      <c r="AM2" s="36">
        <v>1</v>
      </c>
      <c r="AN2" s="13">
        <f>AM2</f>
        <v>1</v>
      </c>
      <c r="AO2" s="36">
        <v>1</v>
      </c>
      <c r="AP2" s="13">
        <f>AO2</f>
        <v>1</v>
      </c>
      <c r="AQ2" s="36">
        <v>1</v>
      </c>
      <c r="AR2" s="13">
        <f>AQ2</f>
        <v>1</v>
      </c>
      <c r="AS2" s="9">
        <f>Z2+AK2+AM2+AO2+AQ2</f>
        <v>3493.9605578533442</v>
      </c>
      <c r="AT2" s="9">
        <f>Z2+AK2+AM2+AO2+AQ2</f>
        <v>3493.9605578533442</v>
      </c>
      <c r="AU2" s="45">
        <v>24400</v>
      </c>
      <c r="AV2" s="9">
        <f>AT2-AU2</f>
        <v>-20906.039442146655</v>
      </c>
      <c r="AW2" s="9">
        <f>AS2*AY2</f>
        <v>0</v>
      </c>
      <c r="AX2" s="43">
        <v>0.12</v>
      </c>
      <c r="AY2" s="12">
        <f t="shared" ref="AY2:AY28" si="3">IF(AV2&lt;$BC$2,0,IF(AV2&lt;$BC$3,$BB$2,IF(AV2&lt;$BC$4,$BB$3,IF(AV2&lt;$BC$5,$BB$4,IF(AV2&lt;$BC$6,$BB$5,IF(AV2&lt;$BC$7,$BB$6,IF(AV2&lt;$BC$8,$BB$7,$BB$8)))))))</f>
        <v>0</v>
      </c>
      <c r="AZ2" s="12">
        <f>IF(AV2&lt;$BD$2,0,IF(AV2&lt;$BD$3,$BB$2,IF(AV2&lt;$BD$4,$BB$3,IF(AV2&lt;$BD$5,$BB$4,IF(AV2&lt;$BD$6,$BB$5,IF(AV2&lt;$BD$7,$BB$6,IF(AV2&lt;$BD$8,$BB$7,$BB$8)))))))</f>
        <v>0</v>
      </c>
      <c r="BA2" s="14"/>
      <c r="BB2" s="12">
        <v>0.1</v>
      </c>
      <c r="BC2" s="15">
        <v>0</v>
      </c>
      <c r="BD2" s="15">
        <v>0</v>
      </c>
    </row>
    <row r="3" spans="1:56" ht="18.75" thickBot="1" x14ac:dyDescent="0.4">
      <c r="A3" s="5">
        <f>A2+FLOOR(365/$M$2,1)</f>
        <v>43480</v>
      </c>
      <c r="B3" s="37">
        <f>(B2+AC2)*(1+0.2548/M3)</f>
        <v>142320.22430124765</v>
      </c>
      <c r="C3" s="18">
        <f t="shared" ref="C3" si="4">IF(J3&lt;=0,0,B3/J3)</f>
        <v>0.1333267172471457</v>
      </c>
      <c r="D3" s="37">
        <f>D2*(1+0.2548/M3)</f>
        <v>135736.03680151282</v>
      </c>
      <c r="E3" s="18">
        <f t="shared" ref="E3" si="5">IF(J3&lt;=0,0,D3/J3)</f>
        <v>0.1271585980680949</v>
      </c>
      <c r="F3" s="37">
        <f>(F2-(AC2+AF2))*(1+0.2548/M3)</f>
        <v>745368.73297052353</v>
      </c>
      <c r="G3" s="18">
        <f t="shared" ref="G3" si="6">IF(J3&lt;=0,0,F3/J3)</f>
        <v>0.69826735303109722</v>
      </c>
      <c r="H3" s="38">
        <f t="shared" ref="H3:H28" si="7">H2+AF2</f>
        <v>44029.655975819172</v>
      </c>
      <c r="I3" s="18">
        <f t="shared" ref="I3:I28" si="8">IF(J3&lt;=0,0,H3/J3)</f>
        <v>4.1247331653662102E-2</v>
      </c>
      <c r="J3" s="17">
        <f>B3+D3+F3+H3</f>
        <v>1067454.6500491032</v>
      </c>
      <c r="K3" s="16">
        <f>IF(J3=0,0,J3-J2)</f>
        <v>9932.2290967698209</v>
      </c>
      <c r="L3" s="18">
        <f>IF(J3=0,0,K3/J2)</f>
        <v>9.3919796876037152E-3</v>
      </c>
      <c r="M3" s="19">
        <f>M2</f>
        <v>26</v>
      </c>
      <c r="N3" s="50">
        <v>2E-3</v>
      </c>
      <c r="O3" s="29">
        <f t="shared" ref="O3:O28" si="9">IF(J3=0,0,X2*(1+N3))</f>
        <v>5.757467004658403E-2</v>
      </c>
      <c r="P3" s="17">
        <f t="shared" si="0"/>
        <v>61458.349266268939</v>
      </c>
      <c r="Q3" s="20">
        <f>IF(P3=0,0,(P3-P2)/P2)</f>
        <v>1.1410763646978923E-2</v>
      </c>
      <c r="R3" s="42">
        <f>R2</f>
        <v>0.2</v>
      </c>
      <c r="S3" s="17">
        <f t="shared" ref="S3:U28" si="10">IF($P$2&gt;0,$P$2+$P$2*R3)</f>
        <v>72917.969405024356</v>
      </c>
      <c r="T3" s="42">
        <f t="shared" ref="T3:V18" si="11">T2</f>
        <v>-0.2</v>
      </c>
      <c r="U3" s="17">
        <f t="shared" si="10"/>
        <v>48611.979603349566</v>
      </c>
      <c r="V3" s="42">
        <f t="shared" si="11"/>
        <v>-0.1</v>
      </c>
      <c r="W3" s="42">
        <f t="shared" ref="W3:W28" si="12">W2</f>
        <v>0.1</v>
      </c>
      <c r="X3" s="29">
        <f t="shared" ref="X3:X28" si="13">IF(P3&gt;S3,O3+O3*V3,IF(P3&lt;U3,O3+O3*W3,O3))</f>
        <v>5.757467004658403E-2</v>
      </c>
      <c r="Y3" s="21">
        <f t="shared" si="1"/>
        <v>2.2144103864070782E-3</v>
      </c>
      <c r="Z3" s="17">
        <f t="shared" si="2"/>
        <v>2363.7826640872672</v>
      </c>
      <c r="AA3" s="17">
        <f>AA2+Z3</f>
        <v>4700.8970680944576</v>
      </c>
      <c r="AB3" s="44">
        <v>0</v>
      </c>
      <c r="AC3" s="17">
        <f t="shared" ref="AC3:AC28" si="14">Z3*AB3</f>
        <v>0</v>
      </c>
      <c r="AD3" s="17">
        <f>AD2+AC3</f>
        <v>0</v>
      </c>
      <c r="AE3" s="44">
        <v>0.3</v>
      </c>
      <c r="AF3" s="17">
        <f t="shared" ref="AF3:AF28" si="15">Z3*AE3</f>
        <v>709.13479922618012</v>
      </c>
      <c r="AG3" s="17">
        <f>AG2+AF3</f>
        <v>1410.2691204283374</v>
      </c>
      <c r="AH3" s="44">
        <v>0.7</v>
      </c>
      <c r="AI3" s="17">
        <f t="shared" ref="AI3:AI28" si="16">Z3*AH3</f>
        <v>1654.6478648610869</v>
      </c>
      <c r="AJ3" s="17">
        <f>AJ2+AI3</f>
        <v>3290.6279476661202</v>
      </c>
      <c r="AK3" s="37">
        <f>AK2</f>
        <v>1153.8461538461538</v>
      </c>
      <c r="AL3" s="17">
        <f>AL2+AK3</f>
        <v>2307.6923076923076</v>
      </c>
      <c r="AM3" s="37">
        <v>1</v>
      </c>
      <c r="AN3" s="23">
        <f t="shared" ref="AN3:AN28" si="17">AN2+AM3</f>
        <v>2</v>
      </c>
      <c r="AO3" s="37">
        <v>1</v>
      </c>
      <c r="AP3" s="23">
        <f t="shared" ref="AP3:AP28" si="18">AP2+AO3</f>
        <v>2</v>
      </c>
      <c r="AQ3" s="37">
        <v>1</v>
      </c>
      <c r="AR3" s="23">
        <f t="shared" ref="AR3:AR28" si="19">AR2+AQ3</f>
        <v>2</v>
      </c>
      <c r="AS3" s="17">
        <f t="shared" ref="AS3:AS28" si="20">Z3+AK3+AM3+AO3+AQ3</f>
        <v>3520.628817933421</v>
      </c>
      <c r="AT3" s="17">
        <f t="shared" ref="AT3:AT28" si="21">AT2+Z3+AK3+AM3+AO3+AQ3</f>
        <v>7014.5893757867652</v>
      </c>
      <c r="AU3" s="46">
        <f>AU2</f>
        <v>24400</v>
      </c>
      <c r="AV3" s="17">
        <f t="shared" ref="AV3:AV28" si="22">AT3-AU3</f>
        <v>-17385.410624213233</v>
      </c>
      <c r="AW3" s="17">
        <f>AW2+(AS3*AY3)</f>
        <v>0</v>
      </c>
      <c r="AX3" s="44">
        <f>AX2</f>
        <v>0.12</v>
      </c>
      <c r="AY3" s="22">
        <f t="shared" si="3"/>
        <v>0</v>
      </c>
      <c r="AZ3" s="12">
        <f t="shared" ref="AZ3:AZ28" si="23">IF(AV3&lt;$BD$2,0,IF(AV3&lt;$BD$3,$BB$2,IF(AV3&lt;$BD$4,$BB$3,IF(AV3&lt;$BD$5,$BB$4,IF(AV3&lt;$BD$6,$BB$5,IF(AV3&lt;$BD$7,$BB$6,IF(AV3&lt;$BD$8,$BB$7,$BB$8)))))))</f>
        <v>0</v>
      </c>
      <c r="BB3" s="22">
        <v>0.12</v>
      </c>
      <c r="BC3" s="25">
        <v>19400</v>
      </c>
      <c r="BD3" s="25">
        <v>9700</v>
      </c>
    </row>
    <row r="4" spans="1:56" ht="18.75" thickBot="1" x14ac:dyDescent="0.4">
      <c r="A4" s="5">
        <f t="shared" ref="A4:A28" si="24">A3+FLOOR(365/$M$2,1)</f>
        <v>43494</v>
      </c>
      <c r="B4" s="37">
        <f t="shared" ref="B4:B28" si="25">(B3+AC3)*(1+0.2548/M4)</f>
        <v>143714.96249939987</v>
      </c>
      <c r="C4" s="18">
        <f t="shared" ref="C4:C28" si="26">IF(J4&lt;=0,0,B4/J4)</f>
        <v>0.13338096970121435</v>
      </c>
      <c r="D4" s="37">
        <f t="shared" ref="D4:D28" si="27">D3*(1+0.2548/M4)</f>
        <v>137066.24996216764</v>
      </c>
      <c r="E4" s="18">
        <f t="shared" ref="E4:E28" si="28">IF(J4&lt;=0,0,D4/J4)</f>
        <v>0.12721034063060274</v>
      </c>
      <c r="F4" s="37">
        <f t="shared" ref="F4:F28" si="29">(F3-(AC3+AF3))*(1+0.2548/M4)</f>
        <v>751957.26223337604</v>
      </c>
      <c r="G4" s="18">
        <f t="shared" ref="G4:G28" si="30">IF(J4&lt;=0,0,F4/J4)</f>
        <v>0.69788689407323778</v>
      </c>
      <c r="H4" s="38">
        <f t="shared" si="7"/>
        <v>44738.790775045352</v>
      </c>
      <c r="I4" s="18">
        <f t="shared" si="8"/>
        <v>4.1521795594945177E-2</v>
      </c>
      <c r="J4" s="17">
        <f>B4+D4+F4+H4</f>
        <v>1077477.2654699888</v>
      </c>
      <c r="K4" s="16">
        <f>IF(J4=0,0,J4-J3)</f>
        <v>10022.615420885617</v>
      </c>
      <c r="L4" s="18">
        <f t="shared" ref="L4:L28" si="31">IF(J4=0,0,K4/J3)</f>
        <v>9.389265783257935E-3</v>
      </c>
      <c r="M4" s="19">
        <f t="shared" ref="M4:M28" si="32">M3</f>
        <v>26</v>
      </c>
      <c r="N4" s="50">
        <v>2E-3</v>
      </c>
      <c r="O4" s="29">
        <f t="shared" si="9"/>
        <v>5.76898193866772E-2</v>
      </c>
      <c r="P4" s="17">
        <f t="shared" si="0"/>
        <v>62159.468838214496</v>
      </c>
      <c r="Q4" s="20">
        <f>IF(P4=0,0,(P4-P3)/P3)</f>
        <v>1.140804431482449E-2</v>
      </c>
      <c r="R4" s="42">
        <f t="shared" ref="R4:R28" si="33">R3</f>
        <v>0.2</v>
      </c>
      <c r="S4" s="17">
        <f t="shared" si="10"/>
        <v>72917.969405024356</v>
      </c>
      <c r="T4" s="42">
        <f t="shared" si="11"/>
        <v>-0.2</v>
      </c>
      <c r="U4" s="17">
        <f t="shared" si="10"/>
        <v>48611.979603349566</v>
      </c>
      <c r="V4" s="42">
        <f t="shared" si="11"/>
        <v>-0.1</v>
      </c>
      <c r="W4" s="42">
        <f t="shared" si="12"/>
        <v>0.1</v>
      </c>
      <c r="X4" s="29">
        <f t="shared" si="13"/>
        <v>5.76898193866772E-2</v>
      </c>
      <c r="Y4" s="21">
        <f t="shared" si="1"/>
        <v>2.2188392071798924E-3</v>
      </c>
      <c r="Z4" s="17">
        <f t="shared" si="2"/>
        <v>2390.7488014697883</v>
      </c>
      <c r="AA4" s="17">
        <f t="shared" ref="AA4:AL19" si="34">AA3+Z4</f>
        <v>7091.6458695642459</v>
      </c>
      <c r="AB4" s="44">
        <v>0</v>
      </c>
      <c r="AC4" s="17">
        <f t="shared" si="14"/>
        <v>0</v>
      </c>
      <c r="AD4" s="17">
        <f t="shared" si="34"/>
        <v>0</v>
      </c>
      <c r="AE4" s="44">
        <v>0.3</v>
      </c>
      <c r="AF4" s="17">
        <f t="shared" si="15"/>
        <v>717.22464044093647</v>
      </c>
      <c r="AG4" s="17">
        <f t="shared" si="34"/>
        <v>2127.493760869274</v>
      </c>
      <c r="AH4" s="44">
        <v>0.7</v>
      </c>
      <c r="AI4" s="17">
        <f t="shared" si="16"/>
        <v>1673.5241610288517</v>
      </c>
      <c r="AJ4" s="17">
        <f t="shared" ref="AJ4:AJ28" si="35">AJ3+AI4</f>
        <v>4964.1521086949724</v>
      </c>
      <c r="AK4" s="37">
        <f t="shared" ref="AK4:AK28" si="36">AK3</f>
        <v>1153.8461538461538</v>
      </c>
      <c r="AL4" s="17">
        <f t="shared" si="34"/>
        <v>3461.5384615384614</v>
      </c>
      <c r="AM4" s="37"/>
      <c r="AN4" s="23">
        <f t="shared" si="17"/>
        <v>2</v>
      </c>
      <c r="AO4" s="37"/>
      <c r="AP4" s="23">
        <f t="shared" si="18"/>
        <v>2</v>
      </c>
      <c r="AQ4" s="37"/>
      <c r="AR4" s="23">
        <f t="shared" si="19"/>
        <v>2</v>
      </c>
      <c r="AS4" s="17">
        <f t="shared" si="20"/>
        <v>3544.5949553159421</v>
      </c>
      <c r="AT4" s="17">
        <f t="shared" si="21"/>
        <v>10559.184331102708</v>
      </c>
      <c r="AU4" s="46">
        <f t="shared" ref="AU4:AU28" si="37">AU3</f>
        <v>24400</v>
      </c>
      <c r="AV4" s="17">
        <f t="shared" si="22"/>
        <v>-13840.815668897292</v>
      </c>
      <c r="AW4" s="17">
        <f t="shared" ref="AW4:AW28" si="38">AW3+(AS4*AY4)</f>
        <v>0</v>
      </c>
      <c r="AX4" s="44">
        <f t="shared" ref="AX4:AX28" si="39">AX3</f>
        <v>0.12</v>
      </c>
      <c r="AY4" s="22">
        <f t="shared" si="3"/>
        <v>0</v>
      </c>
      <c r="AZ4" s="12">
        <f t="shared" si="23"/>
        <v>0</v>
      </c>
      <c r="BB4" s="22">
        <v>0.22</v>
      </c>
      <c r="BC4" s="25">
        <v>78950</v>
      </c>
      <c r="BD4" s="25">
        <v>39475</v>
      </c>
    </row>
    <row r="5" spans="1:56" ht="18.75" thickBot="1" x14ac:dyDescent="0.4">
      <c r="A5" s="5">
        <f t="shared" si="24"/>
        <v>43508</v>
      </c>
      <c r="B5" s="37">
        <f t="shared" si="25"/>
        <v>145123.369131894</v>
      </c>
      <c r="C5" s="18">
        <f t="shared" si="26"/>
        <v>0.13343560152203507</v>
      </c>
      <c r="D5" s="37">
        <f t="shared" si="27"/>
        <v>138409.49921179688</v>
      </c>
      <c r="E5" s="18">
        <f t="shared" si="28"/>
        <v>0.12726244500914669</v>
      </c>
      <c r="F5" s="37">
        <f t="shared" si="29"/>
        <v>758602.18996134598</v>
      </c>
      <c r="G5" s="18">
        <f t="shared" si="30"/>
        <v>0.69750681877725951</v>
      </c>
      <c r="H5" s="38">
        <f t="shared" si="7"/>
        <v>45456.01541548629</v>
      </c>
      <c r="I5" s="18">
        <f t="shared" si="8"/>
        <v>4.1795134691558773E-2</v>
      </c>
      <c r="J5" s="17">
        <f t="shared" ref="J5:J28" si="40">B5+D5+F5+H5</f>
        <v>1087591.0737205232</v>
      </c>
      <c r="K5" s="16">
        <f>IF(J5=0,0,J5-J4)</f>
        <v>10113.808250534348</v>
      </c>
      <c r="L5" s="18">
        <f t="shared" si="31"/>
        <v>9.3865630159006355E-3</v>
      </c>
      <c r="M5" s="19">
        <f t="shared" si="32"/>
        <v>26</v>
      </c>
      <c r="N5" s="50">
        <v>4.0000000000000001E-3</v>
      </c>
      <c r="O5" s="29">
        <f t="shared" si="9"/>
        <v>5.7920578664223912E-2</v>
      </c>
      <c r="P5" s="17">
        <f t="shared" si="0"/>
        <v>62993.904339937311</v>
      </c>
      <c r="Q5" s="20">
        <f t="shared" ref="Q5:Q28" si="41">IF(P5=0,0,(P5-P4)/P4)</f>
        <v>1.3424109267964333E-2</v>
      </c>
      <c r="R5" s="42">
        <f t="shared" si="33"/>
        <v>0.2</v>
      </c>
      <c r="S5" s="17">
        <f t="shared" si="10"/>
        <v>72917.969405024356</v>
      </c>
      <c r="T5" s="42">
        <f t="shared" si="11"/>
        <v>-0.2</v>
      </c>
      <c r="U5" s="17">
        <f t="shared" si="10"/>
        <v>48611.979603349566</v>
      </c>
      <c r="V5" s="42">
        <f t="shared" si="11"/>
        <v>-0.1</v>
      </c>
      <c r="W5" s="42">
        <f t="shared" si="12"/>
        <v>0.1</v>
      </c>
      <c r="X5" s="29">
        <f t="shared" si="13"/>
        <v>5.7920578664223912E-2</v>
      </c>
      <c r="Y5" s="21">
        <f t="shared" si="1"/>
        <v>2.2277145640086119E-3</v>
      </c>
      <c r="Z5" s="17">
        <f t="shared" si="2"/>
        <v>2422.8424746129735</v>
      </c>
      <c r="AA5" s="17">
        <f t="shared" si="34"/>
        <v>9514.4883441772199</v>
      </c>
      <c r="AB5" s="44">
        <v>0</v>
      </c>
      <c r="AC5" s="17">
        <f t="shared" si="14"/>
        <v>0</v>
      </c>
      <c r="AD5" s="17">
        <f t="shared" si="34"/>
        <v>0</v>
      </c>
      <c r="AE5" s="44">
        <v>0.3</v>
      </c>
      <c r="AF5" s="17">
        <f t="shared" si="15"/>
        <v>726.85274238389206</v>
      </c>
      <c r="AG5" s="17">
        <f t="shared" si="34"/>
        <v>2854.3465032531658</v>
      </c>
      <c r="AH5" s="44">
        <v>0.7</v>
      </c>
      <c r="AI5" s="17">
        <f t="shared" si="16"/>
        <v>1695.9897322290815</v>
      </c>
      <c r="AJ5" s="17">
        <f t="shared" si="35"/>
        <v>6660.1418409240541</v>
      </c>
      <c r="AK5" s="37">
        <f t="shared" si="36"/>
        <v>1153.8461538461538</v>
      </c>
      <c r="AL5" s="17">
        <f t="shared" si="34"/>
        <v>4615.3846153846152</v>
      </c>
      <c r="AM5" s="37"/>
      <c r="AN5" s="23">
        <f t="shared" si="17"/>
        <v>2</v>
      </c>
      <c r="AO5" s="37"/>
      <c r="AP5" s="23">
        <f t="shared" si="18"/>
        <v>2</v>
      </c>
      <c r="AQ5" s="37"/>
      <c r="AR5" s="23">
        <f t="shared" si="19"/>
        <v>2</v>
      </c>
      <c r="AS5" s="17">
        <f t="shared" si="20"/>
        <v>3576.6886284591274</v>
      </c>
      <c r="AT5" s="17">
        <f t="shared" si="21"/>
        <v>14135.872959561835</v>
      </c>
      <c r="AU5" s="46">
        <f t="shared" si="37"/>
        <v>24400</v>
      </c>
      <c r="AV5" s="17">
        <f t="shared" si="22"/>
        <v>-10264.127040438165</v>
      </c>
      <c r="AW5" s="17">
        <f t="shared" si="38"/>
        <v>0</v>
      </c>
      <c r="AX5" s="44">
        <f t="shared" si="39"/>
        <v>0.12</v>
      </c>
      <c r="AY5" s="22">
        <f t="shared" si="3"/>
        <v>0</v>
      </c>
      <c r="AZ5" s="12">
        <f t="shared" si="23"/>
        <v>0</v>
      </c>
      <c r="BB5" s="22">
        <v>0.24</v>
      </c>
      <c r="BC5" s="25">
        <v>168400</v>
      </c>
      <c r="BD5" s="25">
        <v>84200</v>
      </c>
    </row>
    <row r="6" spans="1:56" ht="18.75" thickBot="1" x14ac:dyDescent="0.4">
      <c r="A6" s="5">
        <f t="shared" si="24"/>
        <v>43522</v>
      </c>
      <c r="B6" s="37">
        <f t="shared" si="25"/>
        <v>146545.57814938657</v>
      </c>
      <c r="C6" s="18">
        <f t="shared" si="26"/>
        <v>0.13349061342960281</v>
      </c>
      <c r="D6" s="37">
        <f t="shared" si="27"/>
        <v>139765.9123040725</v>
      </c>
      <c r="E6" s="18">
        <f t="shared" si="28"/>
        <v>0.12731491189041247</v>
      </c>
      <c r="F6" s="37">
        <f t="shared" si="29"/>
        <v>765302.51552370796</v>
      </c>
      <c r="G6" s="18">
        <f t="shared" si="30"/>
        <v>0.69712579217051962</v>
      </c>
      <c r="H6" s="38">
        <f t="shared" si="7"/>
        <v>46182.86815787018</v>
      </c>
      <c r="I6" s="18">
        <f t="shared" si="8"/>
        <v>4.2068682509465175E-2</v>
      </c>
      <c r="J6" s="17">
        <f t="shared" si="40"/>
        <v>1097796.8741350372</v>
      </c>
      <c r="K6" s="16">
        <f t="shared" ref="K6:K28" si="42">IF(J6=0,0,J6-J5)</f>
        <v>10205.800414514029</v>
      </c>
      <c r="L6" s="18">
        <f t="shared" si="31"/>
        <v>9.3838581992045662E-3</v>
      </c>
      <c r="M6" s="19">
        <f t="shared" si="32"/>
        <v>26</v>
      </c>
      <c r="N6" s="50">
        <v>4.0000000000000001E-3</v>
      </c>
      <c r="O6" s="29">
        <f t="shared" si="9"/>
        <v>5.8152260978880807E-2</v>
      </c>
      <c r="P6" s="17">
        <f t="shared" si="0"/>
        <v>63839.370326500248</v>
      </c>
      <c r="Q6" s="20">
        <f t="shared" si="41"/>
        <v>1.3421393632001344E-2</v>
      </c>
      <c r="R6" s="42">
        <f t="shared" si="33"/>
        <v>0.2</v>
      </c>
      <c r="S6" s="17">
        <f t="shared" si="10"/>
        <v>72917.969405024356</v>
      </c>
      <c r="T6" s="42">
        <f t="shared" si="11"/>
        <v>-0.2</v>
      </c>
      <c r="U6" s="17">
        <f t="shared" si="10"/>
        <v>48611.979603349566</v>
      </c>
      <c r="V6" s="42">
        <f t="shared" si="11"/>
        <v>-0.1</v>
      </c>
      <c r="W6" s="42">
        <f t="shared" si="12"/>
        <v>0.1</v>
      </c>
      <c r="X6" s="29">
        <f t="shared" si="13"/>
        <v>5.8152260978880807E-2</v>
      </c>
      <c r="Y6" s="21">
        <f t="shared" si="1"/>
        <v>2.2366254222646463E-3</v>
      </c>
      <c r="Z6" s="17">
        <f t="shared" si="2"/>
        <v>2455.3603971730863</v>
      </c>
      <c r="AA6" s="17">
        <f t="shared" si="34"/>
        <v>11969.848741350306</v>
      </c>
      <c r="AB6" s="44">
        <v>0</v>
      </c>
      <c r="AC6" s="17">
        <f t="shared" si="14"/>
        <v>0</v>
      </c>
      <c r="AD6" s="17">
        <f t="shared" si="34"/>
        <v>0</v>
      </c>
      <c r="AE6" s="44">
        <v>0.3</v>
      </c>
      <c r="AF6" s="17">
        <f t="shared" si="15"/>
        <v>736.60811915192585</v>
      </c>
      <c r="AG6" s="17">
        <f t="shared" si="34"/>
        <v>3590.9546224050919</v>
      </c>
      <c r="AH6" s="44">
        <v>0.7</v>
      </c>
      <c r="AI6" s="17">
        <f t="shared" si="16"/>
        <v>1718.7522780211602</v>
      </c>
      <c r="AJ6" s="17">
        <f t="shared" si="35"/>
        <v>8378.8941189452144</v>
      </c>
      <c r="AK6" s="37">
        <f t="shared" si="36"/>
        <v>1153.8461538461538</v>
      </c>
      <c r="AL6" s="17">
        <f t="shared" si="34"/>
        <v>5769.2307692307695</v>
      </c>
      <c r="AM6" s="37"/>
      <c r="AN6" s="23">
        <f t="shared" si="17"/>
        <v>2</v>
      </c>
      <c r="AO6" s="37"/>
      <c r="AP6" s="23">
        <f t="shared" si="18"/>
        <v>2</v>
      </c>
      <c r="AQ6" s="37"/>
      <c r="AR6" s="23">
        <f t="shared" si="19"/>
        <v>2</v>
      </c>
      <c r="AS6" s="17">
        <f t="shared" si="20"/>
        <v>3609.2065510192401</v>
      </c>
      <c r="AT6" s="17">
        <f t="shared" si="21"/>
        <v>17745.079510581072</v>
      </c>
      <c r="AU6" s="46">
        <f t="shared" si="37"/>
        <v>24400</v>
      </c>
      <c r="AV6" s="17">
        <f t="shared" si="22"/>
        <v>-6654.9204894189279</v>
      </c>
      <c r="AW6" s="17">
        <f>AW5+(AS6*AY6)</f>
        <v>0</v>
      </c>
      <c r="AX6" s="44">
        <f t="shared" si="39"/>
        <v>0.12</v>
      </c>
      <c r="AY6" s="22">
        <f t="shared" si="3"/>
        <v>0</v>
      </c>
      <c r="AZ6" s="12">
        <f t="shared" si="23"/>
        <v>0</v>
      </c>
      <c r="BB6" s="22">
        <v>0.32</v>
      </c>
      <c r="BC6" s="25">
        <v>321450</v>
      </c>
      <c r="BD6" s="25">
        <v>160275</v>
      </c>
    </row>
    <row r="7" spans="1:56" ht="18.75" thickBot="1" x14ac:dyDescent="0.4">
      <c r="A7" s="5">
        <f t="shared" si="24"/>
        <v>43536</v>
      </c>
      <c r="B7" s="37">
        <f t="shared" si="25"/>
        <v>147981.72481525055</v>
      </c>
      <c r="C7" s="18">
        <f t="shared" si="26"/>
        <v>0.13354600616089898</v>
      </c>
      <c r="D7" s="37">
        <f t="shared" si="27"/>
        <v>141135.6182446524</v>
      </c>
      <c r="E7" s="18">
        <f t="shared" si="28"/>
        <v>0.12736774197728642</v>
      </c>
      <c r="F7" s="37">
        <f t="shared" si="29"/>
        <v>772058.65329712071</v>
      </c>
      <c r="G7" s="18">
        <f t="shared" si="30"/>
        <v>0.6967438026453312</v>
      </c>
      <c r="H7" s="38">
        <f t="shared" si="7"/>
        <v>46919.476277022106</v>
      </c>
      <c r="I7" s="18">
        <f t="shared" si="8"/>
        <v>4.2342449216483259E-2</v>
      </c>
      <c r="J7" s="17">
        <f t="shared" si="40"/>
        <v>1108095.4726340459</v>
      </c>
      <c r="K7" s="16">
        <f t="shared" si="42"/>
        <v>10298.598499008687</v>
      </c>
      <c r="L7" s="18">
        <f t="shared" si="31"/>
        <v>9.3811512326659099E-3</v>
      </c>
      <c r="M7" s="19">
        <f t="shared" si="32"/>
        <v>26</v>
      </c>
      <c r="N7" s="50">
        <v>6.0000000000000001E-3</v>
      </c>
      <c r="O7" s="29">
        <f t="shared" si="9"/>
        <v>5.8501174544754092E-2</v>
      </c>
      <c r="P7" s="17">
        <f t="shared" si="0"/>
        <v>64824.886656816096</v>
      </c>
      <c r="Q7" s="20">
        <f t="shared" si="41"/>
        <v>1.5437438140061854E-2</v>
      </c>
      <c r="R7" s="42">
        <f t="shared" si="33"/>
        <v>0.2</v>
      </c>
      <c r="S7" s="17">
        <f t="shared" si="10"/>
        <v>72917.969405024356</v>
      </c>
      <c r="T7" s="42">
        <f t="shared" si="11"/>
        <v>-0.2</v>
      </c>
      <c r="U7" s="17">
        <f t="shared" si="10"/>
        <v>48611.979603349566</v>
      </c>
      <c r="V7" s="42">
        <f t="shared" si="11"/>
        <v>-0.1</v>
      </c>
      <c r="W7" s="42">
        <f t="shared" si="12"/>
        <v>0.1</v>
      </c>
      <c r="X7" s="29">
        <f t="shared" si="13"/>
        <v>5.8501174544754092E-2</v>
      </c>
      <c r="Y7" s="21">
        <f t="shared" si="1"/>
        <v>2.2500451747982345E-3</v>
      </c>
      <c r="Z7" s="17">
        <f t="shared" si="2"/>
        <v>2493.2648714160041</v>
      </c>
      <c r="AA7" s="17">
        <f t="shared" si="34"/>
        <v>14463.11361276631</v>
      </c>
      <c r="AB7" s="44">
        <v>0</v>
      </c>
      <c r="AC7" s="17">
        <f t="shared" si="14"/>
        <v>0</v>
      </c>
      <c r="AD7" s="17">
        <f t="shared" si="34"/>
        <v>0</v>
      </c>
      <c r="AE7" s="44">
        <v>0.3</v>
      </c>
      <c r="AF7" s="17">
        <f t="shared" si="15"/>
        <v>747.97946142480123</v>
      </c>
      <c r="AG7" s="17">
        <f t="shared" si="34"/>
        <v>4338.9340838298931</v>
      </c>
      <c r="AH7" s="44">
        <v>0.7</v>
      </c>
      <c r="AI7" s="17">
        <f t="shared" si="16"/>
        <v>1745.2854099912029</v>
      </c>
      <c r="AJ7" s="17">
        <f t="shared" si="35"/>
        <v>10124.179528936416</v>
      </c>
      <c r="AK7" s="37">
        <f t="shared" si="36"/>
        <v>1153.8461538461538</v>
      </c>
      <c r="AL7" s="17">
        <f t="shared" si="34"/>
        <v>6923.0769230769238</v>
      </c>
      <c r="AM7" s="37"/>
      <c r="AN7" s="23">
        <f t="shared" si="17"/>
        <v>2</v>
      </c>
      <c r="AO7" s="37"/>
      <c r="AP7" s="23">
        <f t="shared" si="18"/>
        <v>2</v>
      </c>
      <c r="AQ7" s="37"/>
      <c r="AR7" s="23">
        <f t="shared" si="19"/>
        <v>2</v>
      </c>
      <c r="AS7" s="17">
        <f t="shared" si="20"/>
        <v>3647.1110252621579</v>
      </c>
      <c r="AT7" s="17">
        <f t="shared" si="21"/>
        <v>21392.19053584323</v>
      </c>
      <c r="AU7" s="46">
        <f t="shared" si="37"/>
        <v>24400</v>
      </c>
      <c r="AV7" s="17">
        <f t="shared" si="22"/>
        <v>-3007.8094641567695</v>
      </c>
      <c r="AW7" s="17">
        <f t="shared" si="38"/>
        <v>0</v>
      </c>
      <c r="AX7" s="44">
        <f t="shared" si="39"/>
        <v>0.12</v>
      </c>
      <c r="AY7" s="22">
        <f t="shared" si="3"/>
        <v>0</v>
      </c>
      <c r="AZ7" s="12">
        <f t="shared" si="23"/>
        <v>0</v>
      </c>
      <c r="BB7" s="22">
        <v>0.35</v>
      </c>
      <c r="BC7" s="25">
        <v>408200</v>
      </c>
      <c r="BD7" s="25">
        <v>204100</v>
      </c>
    </row>
    <row r="8" spans="1:56" ht="18.75" thickBot="1" x14ac:dyDescent="0.4">
      <c r="A8" s="5">
        <f t="shared" si="24"/>
        <v>43550</v>
      </c>
      <c r="B8" s="37">
        <f t="shared" si="25"/>
        <v>149431.94571844002</v>
      </c>
      <c r="C8" s="18">
        <f t="shared" si="26"/>
        <v>0.13360178221059463</v>
      </c>
      <c r="D8" s="37">
        <f t="shared" si="27"/>
        <v>142518.74730345001</v>
      </c>
      <c r="E8" s="18">
        <f t="shared" si="28"/>
        <v>0.12742093764902812</v>
      </c>
      <c r="F8" s="37">
        <f t="shared" si="29"/>
        <v>778869.51843928581</v>
      </c>
      <c r="G8" s="18">
        <f t="shared" si="30"/>
        <v>0.69635950514264966</v>
      </c>
      <c r="H8" s="38">
        <f t="shared" si="7"/>
        <v>47667.455738446908</v>
      </c>
      <c r="I8" s="18">
        <f t="shared" si="8"/>
        <v>4.2617774997727745E-2</v>
      </c>
      <c r="J8" s="17">
        <f t="shared" si="40"/>
        <v>1118487.6671996226</v>
      </c>
      <c r="K8" s="16">
        <f t="shared" si="42"/>
        <v>10392.194565576734</v>
      </c>
      <c r="L8" s="18">
        <f t="shared" si="31"/>
        <v>9.3784288648644347E-3</v>
      </c>
      <c r="M8" s="19">
        <f t="shared" si="32"/>
        <v>26</v>
      </c>
      <c r="N8" s="50">
        <v>6.0000000000000001E-3</v>
      </c>
      <c r="O8" s="29">
        <f t="shared" si="9"/>
        <v>5.8852181592022615E-2</v>
      </c>
      <c r="P8" s="17">
        <f t="shared" si="0"/>
        <v>65825.439298469952</v>
      </c>
      <c r="Q8" s="20">
        <f t="shared" si="41"/>
        <v>1.5434699438053728E-2</v>
      </c>
      <c r="R8" s="42">
        <f t="shared" si="33"/>
        <v>0.2</v>
      </c>
      <c r="S8" s="17">
        <f t="shared" si="10"/>
        <v>72917.969405024356</v>
      </c>
      <c r="T8" s="42">
        <f t="shared" si="11"/>
        <v>-0.2</v>
      </c>
      <c r="U8" s="17">
        <f t="shared" si="10"/>
        <v>48611.979603349566</v>
      </c>
      <c r="V8" s="42">
        <f t="shared" si="11"/>
        <v>-0.1</v>
      </c>
      <c r="W8" s="42">
        <f t="shared" si="12"/>
        <v>0.1</v>
      </c>
      <c r="X8" s="29">
        <f t="shared" si="13"/>
        <v>5.8852181592022615E-2</v>
      </c>
      <c r="Y8" s="21">
        <f t="shared" si="1"/>
        <v>2.2635454458470239E-3</v>
      </c>
      <c r="Z8" s="17">
        <f t="shared" si="2"/>
        <v>2531.7476653257672</v>
      </c>
      <c r="AA8" s="17">
        <f t="shared" si="34"/>
        <v>16994.861278092078</v>
      </c>
      <c r="AB8" s="44">
        <v>0</v>
      </c>
      <c r="AC8" s="17">
        <f t="shared" si="14"/>
        <v>0</v>
      </c>
      <c r="AD8" s="17">
        <f t="shared" si="34"/>
        <v>0</v>
      </c>
      <c r="AE8" s="44">
        <v>0.3</v>
      </c>
      <c r="AF8" s="17">
        <f t="shared" si="15"/>
        <v>759.52429959773019</v>
      </c>
      <c r="AG8" s="17">
        <f t="shared" si="34"/>
        <v>5098.4583834276236</v>
      </c>
      <c r="AH8" s="44">
        <v>0.7</v>
      </c>
      <c r="AI8" s="17">
        <f t="shared" si="16"/>
        <v>1772.2233657280369</v>
      </c>
      <c r="AJ8" s="17">
        <f t="shared" si="35"/>
        <v>11896.402894664454</v>
      </c>
      <c r="AK8" s="37">
        <f t="shared" si="36"/>
        <v>1153.8461538461538</v>
      </c>
      <c r="AL8" s="17">
        <f t="shared" si="34"/>
        <v>8076.923076923078</v>
      </c>
      <c r="AM8" s="37"/>
      <c r="AN8" s="23">
        <f t="shared" si="17"/>
        <v>2</v>
      </c>
      <c r="AO8" s="37"/>
      <c r="AP8" s="23">
        <f t="shared" si="18"/>
        <v>2</v>
      </c>
      <c r="AQ8" s="37"/>
      <c r="AR8" s="23">
        <f t="shared" si="19"/>
        <v>2</v>
      </c>
      <c r="AS8" s="17">
        <f t="shared" si="20"/>
        <v>3685.593819171921</v>
      </c>
      <c r="AT8" s="17">
        <f t="shared" si="21"/>
        <v>25077.784355015148</v>
      </c>
      <c r="AU8" s="46">
        <f t="shared" si="37"/>
        <v>24400</v>
      </c>
      <c r="AV8" s="17">
        <f t="shared" si="22"/>
        <v>677.78435501514832</v>
      </c>
      <c r="AW8" s="17">
        <f t="shared" si="38"/>
        <v>368.55938191719213</v>
      </c>
      <c r="AX8" s="44">
        <f t="shared" si="39"/>
        <v>0.12</v>
      </c>
      <c r="AY8" s="22">
        <f t="shared" si="3"/>
        <v>0.1</v>
      </c>
      <c r="AZ8" s="12">
        <f t="shared" si="23"/>
        <v>0.1</v>
      </c>
      <c r="BB8" s="22">
        <v>0.37</v>
      </c>
      <c r="BC8" s="25">
        <v>612350</v>
      </c>
      <c r="BD8" s="25">
        <v>510300</v>
      </c>
    </row>
    <row r="9" spans="1:56" ht="18.75" thickBot="1" x14ac:dyDescent="0.4">
      <c r="A9" s="5">
        <f t="shared" si="24"/>
        <v>43564</v>
      </c>
      <c r="B9" s="37">
        <f t="shared" si="25"/>
        <v>150896.37878648075</v>
      </c>
      <c r="C9" s="18">
        <f t="shared" si="26"/>
        <v>0.13365794409521098</v>
      </c>
      <c r="D9" s="37">
        <f t="shared" si="27"/>
        <v>143915.43102702382</v>
      </c>
      <c r="E9" s="18">
        <f t="shared" si="28"/>
        <v>0.12747450130573643</v>
      </c>
      <c r="F9" s="37">
        <f t="shared" si="29"/>
        <v>785735.47208225704</v>
      </c>
      <c r="G9" s="18">
        <f t="shared" si="30"/>
        <v>0.69597288315180916</v>
      </c>
      <c r="H9" s="38">
        <f t="shared" si="7"/>
        <v>48426.98003804464</v>
      </c>
      <c r="I9" s="18">
        <f t="shared" si="8"/>
        <v>4.2894671447243314E-2</v>
      </c>
      <c r="J9" s="17">
        <f t="shared" si="40"/>
        <v>1128974.2619338064</v>
      </c>
      <c r="K9" s="16">
        <f t="shared" si="42"/>
        <v>10486.594734183745</v>
      </c>
      <c r="L9" s="18">
        <f t="shared" si="31"/>
        <v>9.3756909814117287E-3</v>
      </c>
      <c r="M9" s="19">
        <f t="shared" si="32"/>
        <v>26</v>
      </c>
      <c r="N9" s="50">
        <v>5.0000000000000001E-3</v>
      </c>
      <c r="O9" s="29">
        <f t="shared" si="9"/>
        <v>5.9146442499982722E-2</v>
      </c>
      <c r="P9" s="17">
        <f t="shared" si="0"/>
        <v>66774.811267428304</v>
      </c>
      <c r="Q9" s="20">
        <f t="shared" si="41"/>
        <v>1.4422569436318512E-2</v>
      </c>
      <c r="R9" s="42">
        <f t="shared" si="33"/>
        <v>0.2</v>
      </c>
      <c r="S9" s="17">
        <f t="shared" si="10"/>
        <v>72917.969405024356</v>
      </c>
      <c r="T9" s="42">
        <f t="shared" si="11"/>
        <v>-0.2</v>
      </c>
      <c r="U9" s="17">
        <f t="shared" si="10"/>
        <v>48611.979603349566</v>
      </c>
      <c r="V9" s="42">
        <f t="shared" si="11"/>
        <v>-0.1</v>
      </c>
      <c r="W9" s="42">
        <f t="shared" si="12"/>
        <v>0.1</v>
      </c>
      <c r="X9" s="29">
        <f t="shared" si="13"/>
        <v>5.9146442499982722E-2</v>
      </c>
      <c r="Y9" s="21">
        <f t="shared" si="1"/>
        <v>2.2748631730762584E-3</v>
      </c>
      <c r="Z9" s="17">
        <f t="shared" si="2"/>
        <v>2568.2619718241658</v>
      </c>
      <c r="AA9" s="17">
        <f t="shared" si="34"/>
        <v>19563.123249916243</v>
      </c>
      <c r="AB9" s="44">
        <v>0</v>
      </c>
      <c r="AC9" s="17">
        <f t="shared" si="14"/>
        <v>0</v>
      </c>
      <c r="AD9" s="17">
        <f t="shared" si="34"/>
        <v>0</v>
      </c>
      <c r="AE9" s="44">
        <v>0.3</v>
      </c>
      <c r="AF9" s="17">
        <f t="shared" si="15"/>
        <v>770.47859154724972</v>
      </c>
      <c r="AG9" s="17">
        <f t="shared" si="34"/>
        <v>5868.936974974873</v>
      </c>
      <c r="AH9" s="44">
        <v>0.7</v>
      </c>
      <c r="AI9" s="17">
        <f t="shared" si="16"/>
        <v>1797.783380276916</v>
      </c>
      <c r="AJ9" s="17">
        <f t="shared" si="35"/>
        <v>13694.18627494137</v>
      </c>
      <c r="AK9" s="37">
        <f t="shared" si="36"/>
        <v>1153.8461538461538</v>
      </c>
      <c r="AL9" s="17">
        <f t="shared" si="34"/>
        <v>9230.7692307692323</v>
      </c>
      <c r="AM9" s="37"/>
      <c r="AN9" s="23">
        <f t="shared" si="17"/>
        <v>2</v>
      </c>
      <c r="AO9" s="37"/>
      <c r="AP9" s="23">
        <f t="shared" si="18"/>
        <v>2</v>
      </c>
      <c r="AQ9" s="37"/>
      <c r="AR9" s="23">
        <f t="shared" si="19"/>
        <v>2</v>
      </c>
      <c r="AS9" s="17">
        <f t="shared" si="20"/>
        <v>3722.1081256703196</v>
      </c>
      <c r="AT9" s="17">
        <f t="shared" si="21"/>
        <v>28799.892480685467</v>
      </c>
      <c r="AU9" s="46">
        <f t="shared" si="37"/>
        <v>24400</v>
      </c>
      <c r="AV9" s="17">
        <f t="shared" si="22"/>
        <v>4399.8924806854666</v>
      </c>
      <c r="AW9" s="17">
        <f t="shared" si="38"/>
        <v>740.77019448422413</v>
      </c>
      <c r="AX9" s="44">
        <f t="shared" si="39"/>
        <v>0.12</v>
      </c>
      <c r="AY9" s="22">
        <f t="shared" si="3"/>
        <v>0.1</v>
      </c>
      <c r="AZ9" s="12">
        <f t="shared" si="23"/>
        <v>0.1</v>
      </c>
    </row>
    <row r="10" spans="1:56" ht="18.75" thickBot="1" x14ac:dyDescent="0.4">
      <c r="A10" s="5">
        <f t="shared" si="24"/>
        <v>43578</v>
      </c>
      <c r="B10" s="37">
        <f t="shared" si="25"/>
        <v>152375.16329858828</v>
      </c>
      <c r="C10" s="18">
        <f t="shared" si="26"/>
        <v>0.13371449347172029</v>
      </c>
      <c r="D10" s="37">
        <f t="shared" si="27"/>
        <v>145325.80225108867</v>
      </c>
      <c r="E10" s="18">
        <f t="shared" si="28"/>
        <v>0.12752843452772689</v>
      </c>
      <c r="F10" s="37">
        <f t="shared" si="29"/>
        <v>792657.65042691876</v>
      </c>
      <c r="G10" s="18">
        <f t="shared" si="30"/>
        <v>0.69558459481763424</v>
      </c>
      <c r="H10" s="38">
        <f t="shared" si="7"/>
        <v>49197.458629591893</v>
      </c>
      <c r="I10" s="18">
        <f t="shared" si="8"/>
        <v>4.3172477182918577E-2</v>
      </c>
      <c r="J10" s="17">
        <f t="shared" si="40"/>
        <v>1139556.0746061876</v>
      </c>
      <c r="K10" s="16">
        <f t="shared" si="42"/>
        <v>10581.812672381289</v>
      </c>
      <c r="L10" s="18">
        <f t="shared" si="31"/>
        <v>9.3729441220881601E-3</v>
      </c>
      <c r="M10" s="19">
        <f t="shared" si="32"/>
        <v>26</v>
      </c>
      <c r="N10" s="50">
        <v>5.0000000000000001E-3</v>
      </c>
      <c r="O10" s="29">
        <f t="shared" si="9"/>
        <v>5.9442174712482629E-2</v>
      </c>
      <c r="P10" s="17">
        <f t="shared" si="0"/>
        <v>67737.691281411899</v>
      </c>
      <c r="Q10" s="20">
        <f t="shared" si="41"/>
        <v>1.4419808842698631E-2</v>
      </c>
      <c r="R10" s="42">
        <f t="shared" si="33"/>
        <v>0.2</v>
      </c>
      <c r="S10" s="17">
        <f t="shared" si="10"/>
        <v>72917.969405024356</v>
      </c>
      <c r="T10" s="42">
        <f t="shared" si="11"/>
        <v>-0.2</v>
      </c>
      <c r="U10" s="17">
        <f t="shared" si="10"/>
        <v>48611.979603349566</v>
      </c>
      <c r="V10" s="42">
        <f t="shared" si="11"/>
        <v>-0.1</v>
      </c>
      <c r="W10" s="42">
        <f t="shared" si="12"/>
        <v>0.1</v>
      </c>
      <c r="X10" s="29">
        <f t="shared" si="13"/>
        <v>5.9442174712482629E-2</v>
      </c>
      <c r="Y10" s="21">
        <f t="shared" si="1"/>
        <v>2.2862374889416398E-3</v>
      </c>
      <c r="Z10" s="17">
        <f t="shared" si="2"/>
        <v>2605.2958185158423</v>
      </c>
      <c r="AA10" s="17">
        <f t="shared" si="34"/>
        <v>22168.419068432086</v>
      </c>
      <c r="AB10" s="44">
        <v>0</v>
      </c>
      <c r="AC10" s="17">
        <f t="shared" si="14"/>
        <v>0</v>
      </c>
      <c r="AD10" s="17">
        <f t="shared" si="34"/>
        <v>0</v>
      </c>
      <c r="AE10" s="44">
        <v>0.3</v>
      </c>
      <c r="AF10" s="17">
        <f t="shared" si="15"/>
        <v>781.58874555475268</v>
      </c>
      <c r="AG10" s="17">
        <f t="shared" si="34"/>
        <v>6650.5257205296257</v>
      </c>
      <c r="AH10" s="44">
        <v>0.7</v>
      </c>
      <c r="AI10" s="17">
        <f t="shared" si="16"/>
        <v>1823.7070729610894</v>
      </c>
      <c r="AJ10" s="17">
        <f t="shared" si="35"/>
        <v>15517.89334790246</v>
      </c>
      <c r="AK10" s="37">
        <f t="shared" si="36"/>
        <v>1153.8461538461538</v>
      </c>
      <c r="AL10" s="17">
        <f t="shared" si="34"/>
        <v>10384.615384615387</v>
      </c>
      <c r="AM10" s="37"/>
      <c r="AN10" s="23">
        <f t="shared" si="17"/>
        <v>2</v>
      </c>
      <c r="AO10" s="37"/>
      <c r="AP10" s="23">
        <f t="shared" si="18"/>
        <v>2</v>
      </c>
      <c r="AQ10" s="37"/>
      <c r="AR10" s="23">
        <f t="shared" si="19"/>
        <v>2</v>
      </c>
      <c r="AS10" s="17">
        <f t="shared" si="20"/>
        <v>3759.1419723619961</v>
      </c>
      <c r="AT10" s="17">
        <f t="shared" si="21"/>
        <v>32559.034453047461</v>
      </c>
      <c r="AU10" s="46">
        <f t="shared" si="37"/>
        <v>24400</v>
      </c>
      <c r="AV10" s="17">
        <f t="shared" si="22"/>
        <v>8159.0344530474613</v>
      </c>
      <c r="AW10" s="17">
        <f t="shared" si="38"/>
        <v>1116.6843917204237</v>
      </c>
      <c r="AX10" s="44">
        <f t="shared" si="39"/>
        <v>0.12</v>
      </c>
      <c r="AY10" s="22">
        <f t="shared" si="3"/>
        <v>0.1</v>
      </c>
      <c r="AZ10" s="12">
        <f t="shared" si="23"/>
        <v>0.1</v>
      </c>
    </row>
    <row r="11" spans="1:56" ht="18.75" thickBot="1" x14ac:dyDescent="0.4">
      <c r="A11" s="5">
        <f t="shared" si="24"/>
        <v>43592</v>
      </c>
      <c r="B11" s="37">
        <f t="shared" si="25"/>
        <v>153868.43989891445</v>
      </c>
      <c r="C11" s="18">
        <f t="shared" si="26"/>
        <v>0.13377143201592487</v>
      </c>
      <c r="D11" s="37">
        <f t="shared" si="27"/>
        <v>146749.99511314934</v>
      </c>
      <c r="E11" s="18">
        <f t="shared" si="28"/>
        <v>0.12758273891327379</v>
      </c>
      <c r="F11" s="37">
        <f t="shared" si="29"/>
        <v>799636.44708584133</v>
      </c>
      <c r="G11" s="18">
        <f t="shared" si="30"/>
        <v>0.69519462658537023</v>
      </c>
      <c r="H11" s="38">
        <f t="shared" si="7"/>
        <v>49979.047375146649</v>
      </c>
      <c r="I11" s="18">
        <f t="shared" si="8"/>
        <v>4.3451202485431099E-2</v>
      </c>
      <c r="J11" s="17">
        <f t="shared" si="40"/>
        <v>1150233.9294730518</v>
      </c>
      <c r="K11" s="16">
        <f t="shared" si="42"/>
        <v>10677.85486686416</v>
      </c>
      <c r="L11" s="18">
        <f t="shared" si="31"/>
        <v>9.3701881853898734E-3</v>
      </c>
      <c r="M11" s="19">
        <f t="shared" si="32"/>
        <v>26</v>
      </c>
      <c r="N11" s="50">
        <v>2E-3</v>
      </c>
      <c r="O11" s="29">
        <f t="shared" si="9"/>
        <v>5.9561059061907597E-2</v>
      </c>
      <c r="P11" s="17">
        <f t="shared" si="0"/>
        <v>68509.1510083545</v>
      </c>
      <c r="Q11" s="20">
        <f t="shared" si="41"/>
        <v>1.1388928561760709E-2</v>
      </c>
      <c r="R11" s="42">
        <f t="shared" si="33"/>
        <v>0.2</v>
      </c>
      <c r="S11" s="17">
        <f t="shared" si="10"/>
        <v>72917.969405024356</v>
      </c>
      <c r="T11" s="42">
        <f t="shared" si="11"/>
        <v>-0.2</v>
      </c>
      <c r="U11" s="17">
        <f t="shared" si="10"/>
        <v>48611.979603349566</v>
      </c>
      <c r="V11" s="42">
        <f t="shared" si="11"/>
        <v>-0.1</v>
      </c>
      <c r="W11" s="42">
        <f t="shared" si="12"/>
        <v>0.1</v>
      </c>
      <c r="X11" s="29">
        <f t="shared" si="13"/>
        <v>5.9561059061907597E-2</v>
      </c>
      <c r="Y11" s="21">
        <f t="shared" si="1"/>
        <v>2.2908099639195227E-3</v>
      </c>
      <c r="Z11" s="17">
        <f t="shared" si="2"/>
        <v>2634.9673464751727</v>
      </c>
      <c r="AA11" s="17">
        <f t="shared" si="34"/>
        <v>24803.386414907258</v>
      </c>
      <c r="AB11" s="44">
        <v>0</v>
      </c>
      <c r="AC11" s="17">
        <f t="shared" si="14"/>
        <v>0</v>
      </c>
      <c r="AD11" s="17">
        <f t="shared" si="34"/>
        <v>0</v>
      </c>
      <c r="AE11" s="44">
        <v>0.3</v>
      </c>
      <c r="AF11" s="17">
        <f t="shared" si="15"/>
        <v>790.49020394255183</v>
      </c>
      <c r="AG11" s="17">
        <f t="shared" si="34"/>
        <v>7441.0159244721772</v>
      </c>
      <c r="AH11" s="44">
        <v>0.7</v>
      </c>
      <c r="AI11" s="17">
        <f t="shared" si="16"/>
        <v>1844.4771425326207</v>
      </c>
      <c r="AJ11" s="17">
        <f t="shared" si="35"/>
        <v>17362.370490435082</v>
      </c>
      <c r="AK11" s="37">
        <f t="shared" si="36"/>
        <v>1153.8461538461538</v>
      </c>
      <c r="AL11" s="17">
        <f t="shared" si="34"/>
        <v>11538.461538461541</v>
      </c>
      <c r="AM11" s="37"/>
      <c r="AN11" s="23">
        <f t="shared" si="17"/>
        <v>2</v>
      </c>
      <c r="AO11" s="37"/>
      <c r="AP11" s="23">
        <f t="shared" si="18"/>
        <v>2</v>
      </c>
      <c r="AQ11" s="37"/>
      <c r="AR11" s="23">
        <f t="shared" si="19"/>
        <v>2</v>
      </c>
      <c r="AS11" s="17">
        <f t="shared" si="20"/>
        <v>3788.8135003213265</v>
      </c>
      <c r="AT11" s="17">
        <f t="shared" si="21"/>
        <v>36347.847953368793</v>
      </c>
      <c r="AU11" s="46">
        <f t="shared" si="37"/>
        <v>24400</v>
      </c>
      <c r="AV11" s="17">
        <f t="shared" si="22"/>
        <v>11947.847953368793</v>
      </c>
      <c r="AW11" s="17">
        <f t="shared" si="38"/>
        <v>1495.5657417525563</v>
      </c>
      <c r="AX11" s="44">
        <f t="shared" si="39"/>
        <v>0.12</v>
      </c>
      <c r="AY11" s="22">
        <f t="shared" si="3"/>
        <v>0.1</v>
      </c>
      <c r="AZ11" s="12">
        <f t="shared" si="23"/>
        <v>0.12</v>
      </c>
    </row>
    <row r="12" spans="1:56" ht="18.75" thickBot="1" x14ac:dyDescent="0.4">
      <c r="A12" s="5">
        <f t="shared" si="24"/>
        <v>43606</v>
      </c>
      <c r="B12" s="37">
        <f t="shared" si="25"/>
        <v>155376.35060992383</v>
      </c>
      <c r="C12" s="18">
        <f t="shared" si="26"/>
        <v>0.13382875874897651</v>
      </c>
      <c r="D12" s="37">
        <f t="shared" si="27"/>
        <v>148188.1450652582</v>
      </c>
      <c r="E12" s="18">
        <f t="shared" si="28"/>
        <v>0.12763741352881358</v>
      </c>
      <c r="F12" s="37">
        <f t="shared" si="29"/>
        <v>806674.64725934144</v>
      </c>
      <c r="G12" s="18">
        <f t="shared" si="30"/>
        <v>0.69480500947028301</v>
      </c>
      <c r="H12" s="38">
        <f t="shared" si="7"/>
        <v>50769.537579089199</v>
      </c>
      <c r="I12" s="18">
        <f t="shared" si="8"/>
        <v>4.3728818251926871E-2</v>
      </c>
      <c r="J12" s="17">
        <f t="shared" si="40"/>
        <v>1161008.6805136127</v>
      </c>
      <c r="K12" s="16">
        <f t="shared" si="42"/>
        <v>10774.751040560892</v>
      </c>
      <c r="L12" s="18">
        <f t="shared" si="31"/>
        <v>9.3674432343489027E-3</v>
      </c>
      <c r="M12" s="19">
        <f t="shared" si="32"/>
        <v>26</v>
      </c>
      <c r="N12" s="50">
        <v>2E-3</v>
      </c>
      <c r="O12" s="29">
        <f t="shared" si="9"/>
        <v>5.9680181180031412E-2</v>
      </c>
      <c r="P12" s="17">
        <f t="shared" si="0"/>
        <v>69289.208404641613</v>
      </c>
      <c r="Q12" s="20">
        <f t="shared" si="41"/>
        <v>1.1386178120817571E-2</v>
      </c>
      <c r="R12" s="42">
        <f t="shared" si="33"/>
        <v>0.2</v>
      </c>
      <c r="S12" s="17">
        <f t="shared" si="10"/>
        <v>72917.969405024356</v>
      </c>
      <c r="T12" s="42">
        <f t="shared" si="11"/>
        <v>-0.2</v>
      </c>
      <c r="U12" s="17">
        <f t="shared" si="10"/>
        <v>48611.979603349566</v>
      </c>
      <c r="V12" s="42">
        <f t="shared" si="11"/>
        <v>-0.1</v>
      </c>
      <c r="W12" s="42">
        <f t="shared" si="12"/>
        <v>0.1</v>
      </c>
      <c r="X12" s="29">
        <f t="shared" si="13"/>
        <v>5.9680181180031412E-2</v>
      </c>
      <c r="Y12" s="21">
        <f t="shared" si="1"/>
        <v>2.2953915838473619E-3</v>
      </c>
      <c r="Z12" s="17">
        <f t="shared" si="2"/>
        <v>2664.9695540246771</v>
      </c>
      <c r="AA12" s="17">
        <f t="shared" si="34"/>
        <v>27468.355968931934</v>
      </c>
      <c r="AB12" s="44">
        <v>0</v>
      </c>
      <c r="AC12" s="17">
        <f t="shared" si="14"/>
        <v>0</v>
      </c>
      <c r="AD12" s="17">
        <f t="shared" si="34"/>
        <v>0</v>
      </c>
      <c r="AE12" s="44">
        <v>0.3</v>
      </c>
      <c r="AF12" s="17">
        <f t="shared" si="15"/>
        <v>799.49086620740309</v>
      </c>
      <c r="AG12" s="17">
        <f t="shared" si="34"/>
        <v>8240.5067906795812</v>
      </c>
      <c r="AH12" s="44">
        <v>0.7</v>
      </c>
      <c r="AI12" s="17">
        <f t="shared" si="16"/>
        <v>1865.4786878172738</v>
      </c>
      <c r="AJ12" s="17">
        <f t="shared" si="35"/>
        <v>19227.849178252356</v>
      </c>
      <c r="AK12" s="37">
        <f t="shared" si="36"/>
        <v>1153.8461538461538</v>
      </c>
      <c r="AL12" s="17">
        <f t="shared" si="34"/>
        <v>12692.307692307695</v>
      </c>
      <c r="AM12" s="37"/>
      <c r="AN12" s="23">
        <f t="shared" si="17"/>
        <v>2</v>
      </c>
      <c r="AO12" s="37"/>
      <c r="AP12" s="23">
        <f t="shared" si="18"/>
        <v>2</v>
      </c>
      <c r="AQ12" s="37"/>
      <c r="AR12" s="23">
        <f t="shared" si="19"/>
        <v>2</v>
      </c>
      <c r="AS12" s="17">
        <f t="shared" si="20"/>
        <v>3818.8157078708309</v>
      </c>
      <c r="AT12" s="17">
        <f t="shared" si="21"/>
        <v>40166.663661239625</v>
      </c>
      <c r="AU12" s="46">
        <f t="shared" si="37"/>
        <v>24400</v>
      </c>
      <c r="AV12" s="17">
        <f t="shared" si="22"/>
        <v>15766.663661239625</v>
      </c>
      <c r="AW12" s="17">
        <f t="shared" si="38"/>
        <v>1877.4473125396394</v>
      </c>
      <c r="AX12" s="44">
        <f t="shared" si="39"/>
        <v>0.12</v>
      </c>
      <c r="AY12" s="22">
        <f t="shared" si="3"/>
        <v>0.1</v>
      </c>
      <c r="AZ12" s="12">
        <f t="shared" si="23"/>
        <v>0.12</v>
      </c>
    </row>
    <row r="13" spans="1:56" ht="18.75" thickBot="1" x14ac:dyDescent="0.4">
      <c r="A13" s="5">
        <f t="shared" si="24"/>
        <v>43620</v>
      </c>
      <c r="B13" s="37">
        <f t="shared" si="25"/>
        <v>156899.03884590109</v>
      </c>
      <c r="C13" s="18">
        <f t="shared" si="26"/>
        <v>0.13388647271134979</v>
      </c>
      <c r="D13" s="37">
        <f t="shared" si="27"/>
        <v>149640.38888689774</v>
      </c>
      <c r="E13" s="18">
        <f t="shared" si="28"/>
        <v>0.12769245745921154</v>
      </c>
      <c r="F13" s="37">
        <f t="shared" si="29"/>
        <v>813772.73292578675</v>
      </c>
      <c r="G13" s="18">
        <f t="shared" si="30"/>
        <v>0.69441573129786727</v>
      </c>
      <c r="H13" s="38">
        <f t="shared" si="7"/>
        <v>51569.028445296601</v>
      </c>
      <c r="I13" s="18">
        <f t="shared" si="8"/>
        <v>4.4005338531571243E-2</v>
      </c>
      <c r="J13" s="17">
        <f t="shared" si="40"/>
        <v>1171881.1891038823</v>
      </c>
      <c r="K13" s="16">
        <f t="shared" si="42"/>
        <v>10872.508590269601</v>
      </c>
      <c r="L13" s="18">
        <f t="shared" si="31"/>
        <v>9.3647091298746949E-3</v>
      </c>
      <c r="M13" s="19">
        <f t="shared" si="32"/>
        <v>26</v>
      </c>
      <c r="N13" s="50">
        <v>0</v>
      </c>
      <c r="O13" s="29">
        <f t="shared" si="9"/>
        <v>5.9680181180031412E-2</v>
      </c>
      <c r="P13" s="17">
        <f t="shared" si="0"/>
        <v>69938.081687190352</v>
      </c>
      <c r="Q13" s="20">
        <f t="shared" si="41"/>
        <v>9.364709129874707E-3</v>
      </c>
      <c r="R13" s="42">
        <f t="shared" si="33"/>
        <v>0.2</v>
      </c>
      <c r="S13" s="17">
        <f t="shared" si="10"/>
        <v>72917.969405024356</v>
      </c>
      <c r="T13" s="42">
        <f t="shared" si="11"/>
        <v>-0.2</v>
      </c>
      <c r="U13" s="17">
        <f t="shared" si="10"/>
        <v>48611.979603349566</v>
      </c>
      <c r="V13" s="42">
        <f t="shared" si="11"/>
        <v>-0.1</v>
      </c>
      <c r="W13" s="42">
        <f t="shared" si="12"/>
        <v>0.1</v>
      </c>
      <c r="X13" s="29">
        <f t="shared" si="13"/>
        <v>5.9680181180031412E-2</v>
      </c>
      <c r="Y13" s="21">
        <f t="shared" si="1"/>
        <v>2.2953915838473619E-3</v>
      </c>
      <c r="Z13" s="17">
        <f t="shared" si="2"/>
        <v>2689.92621873809</v>
      </c>
      <c r="AA13" s="17">
        <f t="shared" si="34"/>
        <v>30158.282187670025</v>
      </c>
      <c r="AB13" s="44">
        <v>0</v>
      </c>
      <c r="AC13" s="17">
        <f t="shared" si="14"/>
        <v>0</v>
      </c>
      <c r="AD13" s="17">
        <f t="shared" si="34"/>
        <v>0</v>
      </c>
      <c r="AE13" s="44">
        <v>0.3</v>
      </c>
      <c r="AF13" s="17">
        <f t="shared" si="15"/>
        <v>806.97786562142699</v>
      </c>
      <c r="AG13" s="17">
        <f t="shared" si="34"/>
        <v>9047.4846563010087</v>
      </c>
      <c r="AH13" s="44">
        <v>0.7</v>
      </c>
      <c r="AI13" s="17">
        <f t="shared" si="16"/>
        <v>1882.9483531166629</v>
      </c>
      <c r="AJ13" s="17">
        <f t="shared" si="35"/>
        <v>21110.797531369019</v>
      </c>
      <c r="AK13" s="37">
        <f t="shared" si="36"/>
        <v>1153.8461538461538</v>
      </c>
      <c r="AL13" s="17">
        <f t="shared" si="34"/>
        <v>13846.153846153849</v>
      </c>
      <c r="AM13" s="37"/>
      <c r="AN13" s="23">
        <f t="shared" si="17"/>
        <v>2</v>
      </c>
      <c r="AO13" s="37"/>
      <c r="AP13" s="23">
        <f t="shared" si="18"/>
        <v>2</v>
      </c>
      <c r="AQ13" s="37"/>
      <c r="AR13" s="23">
        <f t="shared" si="19"/>
        <v>2</v>
      </c>
      <c r="AS13" s="17">
        <f t="shared" si="20"/>
        <v>3843.7723725842438</v>
      </c>
      <c r="AT13" s="17">
        <f t="shared" si="21"/>
        <v>44010.436033823869</v>
      </c>
      <c r="AU13" s="46">
        <f t="shared" si="37"/>
        <v>24400</v>
      </c>
      <c r="AV13" s="17">
        <f t="shared" si="22"/>
        <v>19610.436033823869</v>
      </c>
      <c r="AW13" s="17">
        <f t="shared" si="38"/>
        <v>2338.6999972497488</v>
      </c>
      <c r="AX13" s="44">
        <f t="shared" si="39"/>
        <v>0.12</v>
      </c>
      <c r="AY13" s="22">
        <f t="shared" si="3"/>
        <v>0.12</v>
      </c>
      <c r="AZ13" s="12">
        <f t="shared" si="23"/>
        <v>0.12</v>
      </c>
    </row>
    <row r="14" spans="1:56" ht="18.75" thickBot="1" x14ac:dyDescent="0.4">
      <c r="A14" s="5">
        <f t="shared" si="24"/>
        <v>43634</v>
      </c>
      <c r="B14" s="37">
        <f t="shared" si="25"/>
        <v>158436.64942659091</v>
      </c>
      <c r="C14" s="18">
        <f t="shared" si="26"/>
        <v>0.13394457117159794</v>
      </c>
      <c r="D14" s="37">
        <f t="shared" si="27"/>
        <v>151106.86469798934</v>
      </c>
      <c r="E14" s="18">
        <f t="shared" si="28"/>
        <v>0.12774786809938635</v>
      </c>
      <c r="F14" s="37">
        <f t="shared" si="29"/>
        <v>820932.81945975497</v>
      </c>
      <c r="G14" s="18">
        <f t="shared" si="30"/>
        <v>0.69402814854511097</v>
      </c>
      <c r="H14" s="38">
        <f t="shared" si="7"/>
        <v>52376.006310918026</v>
      </c>
      <c r="I14" s="18">
        <f t="shared" si="8"/>
        <v>4.4279412183904666E-2</v>
      </c>
      <c r="J14" s="17">
        <f t="shared" si="40"/>
        <v>1182852.3398952533</v>
      </c>
      <c r="K14" s="16">
        <f t="shared" si="42"/>
        <v>10971.150791371008</v>
      </c>
      <c r="L14" s="18">
        <f t="shared" si="31"/>
        <v>9.3619992311340557E-3</v>
      </c>
      <c r="M14" s="19">
        <f t="shared" si="32"/>
        <v>26</v>
      </c>
      <c r="N14" s="50">
        <v>0</v>
      </c>
      <c r="O14" s="29">
        <f t="shared" si="9"/>
        <v>5.9680181180031412E-2</v>
      </c>
      <c r="P14" s="17">
        <f t="shared" si="0"/>
        <v>70592.841954172822</v>
      </c>
      <c r="Q14" s="20">
        <f t="shared" si="41"/>
        <v>9.3619992311341008E-3</v>
      </c>
      <c r="R14" s="42">
        <f t="shared" si="33"/>
        <v>0.2</v>
      </c>
      <c r="S14" s="17">
        <f t="shared" si="10"/>
        <v>72917.969405024356</v>
      </c>
      <c r="T14" s="42">
        <f t="shared" si="11"/>
        <v>-0.2</v>
      </c>
      <c r="U14" s="17">
        <f t="shared" si="10"/>
        <v>48611.979603349566</v>
      </c>
      <c r="V14" s="42">
        <f t="shared" si="11"/>
        <v>-0.1</v>
      </c>
      <c r="W14" s="42">
        <f t="shared" si="12"/>
        <v>0.1</v>
      </c>
      <c r="X14" s="29">
        <f t="shared" si="13"/>
        <v>5.9680181180031412E-2</v>
      </c>
      <c r="Y14" s="21">
        <f t="shared" si="1"/>
        <v>2.2953915838473619E-3</v>
      </c>
      <c r="Z14" s="17">
        <f t="shared" si="2"/>
        <v>2715.1093059297236</v>
      </c>
      <c r="AA14" s="17">
        <f t="shared" si="34"/>
        <v>32873.391493599745</v>
      </c>
      <c r="AB14" s="44">
        <v>0</v>
      </c>
      <c r="AC14" s="17">
        <f t="shared" si="14"/>
        <v>0</v>
      </c>
      <c r="AD14" s="17">
        <f t="shared" si="34"/>
        <v>0</v>
      </c>
      <c r="AE14" s="44">
        <v>0.3</v>
      </c>
      <c r="AF14" s="17">
        <f t="shared" si="15"/>
        <v>814.53279177891704</v>
      </c>
      <c r="AG14" s="17">
        <f t="shared" si="34"/>
        <v>9862.0174480799251</v>
      </c>
      <c r="AH14" s="44">
        <v>0.7</v>
      </c>
      <c r="AI14" s="17">
        <f t="shared" si="16"/>
        <v>1900.5765141508064</v>
      </c>
      <c r="AJ14" s="17">
        <f t="shared" si="35"/>
        <v>23011.374045519824</v>
      </c>
      <c r="AK14" s="37">
        <f t="shared" si="36"/>
        <v>1153.8461538461538</v>
      </c>
      <c r="AL14" s="17">
        <f t="shared" si="34"/>
        <v>15000.000000000004</v>
      </c>
      <c r="AM14" s="37"/>
      <c r="AN14" s="23">
        <f t="shared" si="17"/>
        <v>2</v>
      </c>
      <c r="AO14" s="37"/>
      <c r="AP14" s="23">
        <f t="shared" si="18"/>
        <v>2</v>
      </c>
      <c r="AQ14" s="37"/>
      <c r="AR14" s="23">
        <f t="shared" si="19"/>
        <v>2</v>
      </c>
      <c r="AS14" s="17">
        <f t="shared" si="20"/>
        <v>3868.9554597758774</v>
      </c>
      <c r="AT14" s="17">
        <f t="shared" si="21"/>
        <v>47879.391493599745</v>
      </c>
      <c r="AU14" s="46">
        <f t="shared" si="37"/>
        <v>24400</v>
      </c>
      <c r="AV14" s="17">
        <f t="shared" si="22"/>
        <v>23479.391493599745</v>
      </c>
      <c r="AW14" s="17">
        <f t="shared" si="38"/>
        <v>2802.974652422854</v>
      </c>
      <c r="AX14" s="44">
        <f t="shared" si="39"/>
        <v>0.12</v>
      </c>
      <c r="AY14" s="22">
        <f t="shared" si="3"/>
        <v>0.12</v>
      </c>
      <c r="AZ14" s="12">
        <f t="shared" si="23"/>
        <v>0.12</v>
      </c>
    </row>
    <row r="15" spans="1:56" ht="18.75" thickBot="1" x14ac:dyDescent="0.4">
      <c r="A15" s="5">
        <f t="shared" si="24"/>
        <v>43648</v>
      </c>
      <c r="B15" s="37">
        <f t="shared" si="25"/>
        <v>159989.32859097151</v>
      </c>
      <c r="C15" s="18">
        <f t="shared" si="26"/>
        <v>0.13400305142637242</v>
      </c>
      <c r="D15" s="37">
        <f t="shared" si="27"/>
        <v>152587.71197202965</v>
      </c>
      <c r="E15" s="18">
        <f t="shared" si="28"/>
        <v>0.127803642871055</v>
      </c>
      <c r="F15" s="37">
        <f t="shared" si="29"/>
        <v>828155.44587732223</v>
      </c>
      <c r="G15" s="18">
        <f t="shared" si="30"/>
        <v>0.69364224339392433</v>
      </c>
      <c r="H15" s="38">
        <f t="shared" si="7"/>
        <v>53190.539102696945</v>
      </c>
      <c r="I15" s="18">
        <f t="shared" si="8"/>
        <v>4.4551062308648255E-2</v>
      </c>
      <c r="J15" s="17">
        <f t="shared" si="40"/>
        <v>1193923.0255430203</v>
      </c>
      <c r="K15" s="16">
        <f t="shared" si="42"/>
        <v>11070.685647767037</v>
      </c>
      <c r="L15" s="18">
        <f t="shared" si="31"/>
        <v>9.3593133093412099E-3</v>
      </c>
      <c r="M15" s="19">
        <f t="shared" si="32"/>
        <v>26</v>
      </c>
      <c r="N15" s="50">
        <v>2E-3</v>
      </c>
      <c r="O15" s="29">
        <f t="shared" si="9"/>
        <v>5.9799541542391477E-2</v>
      </c>
      <c r="P15" s="17">
        <f t="shared" si="0"/>
        <v>71396.049564377565</v>
      </c>
      <c r="Q15" s="20">
        <f t="shared" si="41"/>
        <v>1.1378031935959827E-2</v>
      </c>
      <c r="R15" s="42">
        <f t="shared" si="33"/>
        <v>0.2</v>
      </c>
      <c r="S15" s="17">
        <f t="shared" si="10"/>
        <v>72917.969405024356</v>
      </c>
      <c r="T15" s="42">
        <f t="shared" si="11"/>
        <v>-0.2</v>
      </c>
      <c r="U15" s="17">
        <f t="shared" si="10"/>
        <v>48611.979603349566</v>
      </c>
      <c r="V15" s="42">
        <f t="shared" si="11"/>
        <v>-0.1</v>
      </c>
      <c r="W15" s="42">
        <f t="shared" si="12"/>
        <v>0.1</v>
      </c>
      <c r="X15" s="29">
        <f t="shared" si="13"/>
        <v>5.9799541542391477E-2</v>
      </c>
      <c r="Y15" s="21">
        <f t="shared" si="1"/>
        <v>2.2999823670150567E-3</v>
      </c>
      <c r="Z15" s="17">
        <f t="shared" si="2"/>
        <v>2746.0019063222139</v>
      </c>
      <c r="AA15" s="17">
        <f t="shared" si="34"/>
        <v>35619.393399921959</v>
      </c>
      <c r="AB15" s="44">
        <v>0</v>
      </c>
      <c r="AC15" s="17">
        <f t="shared" si="14"/>
        <v>0</v>
      </c>
      <c r="AD15" s="17">
        <f t="shared" si="34"/>
        <v>0</v>
      </c>
      <c r="AE15" s="44">
        <v>0.3</v>
      </c>
      <c r="AF15" s="17">
        <f t="shared" si="15"/>
        <v>823.80057189666411</v>
      </c>
      <c r="AG15" s="17">
        <f t="shared" si="34"/>
        <v>10685.818019976588</v>
      </c>
      <c r="AH15" s="44">
        <v>0.7</v>
      </c>
      <c r="AI15" s="17">
        <f t="shared" si="16"/>
        <v>1922.2013344255497</v>
      </c>
      <c r="AJ15" s="17">
        <f t="shared" si="35"/>
        <v>24933.575379945374</v>
      </c>
      <c r="AK15" s="37">
        <f t="shared" si="36"/>
        <v>1153.8461538461538</v>
      </c>
      <c r="AL15" s="17">
        <f t="shared" si="34"/>
        <v>16153.846153846158</v>
      </c>
      <c r="AM15" s="37"/>
      <c r="AN15" s="23">
        <f t="shared" si="17"/>
        <v>2</v>
      </c>
      <c r="AO15" s="37"/>
      <c r="AP15" s="23">
        <f t="shared" si="18"/>
        <v>2</v>
      </c>
      <c r="AQ15" s="37"/>
      <c r="AR15" s="23">
        <f t="shared" si="19"/>
        <v>2</v>
      </c>
      <c r="AS15" s="17">
        <f t="shared" si="20"/>
        <v>3899.8480601683677</v>
      </c>
      <c r="AT15" s="17">
        <f t="shared" si="21"/>
        <v>51779.239553768115</v>
      </c>
      <c r="AU15" s="46">
        <f t="shared" si="37"/>
        <v>24400</v>
      </c>
      <c r="AV15" s="17">
        <f t="shared" si="22"/>
        <v>27379.239553768115</v>
      </c>
      <c r="AW15" s="17">
        <f t="shared" si="38"/>
        <v>3270.9564196430583</v>
      </c>
      <c r="AX15" s="44">
        <f t="shared" si="39"/>
        <v>0.12</v>
      </c>
      <c r="AY15" s="22">
        <f t="shared" si="3"/>
        <v>0.12</v>
      </c>
      <c r="AZ15" s="12">
        <f t="shared" si="23"/>
        <v>0.12</v>
      </c>
    </row>
    <row r="16" spans="1:56" ht="18.75" thickBot="1" x14ac:dyDescent="0.4">
      <c r="A16" s="5">
        <f t="shared" si="24"/>
        <v>43662</v>
      </c>
      <c r="B16" s="37">
        <f t="shared" si="25"/>
        <v>161557.22401116302</v>
      </c>
      <c r="C16" s="18">
        <f t="shared" si="26"/>
        <v>0.13406191259273226</v>
      </c>
      <c r="D16" s="37">
        <f t="shared" si="27"/>
        <v>154083.07154935555</v>
      </c>
      <c r="E16" s="18">
        <f t="shared" si="28"/>
        <v>0.12785978093212416</v>
      </c>
      <c r="F16" s="37">
        <f t="shared" si="29"/>
        <v>835439.49542941875</v>
      </c>
      <c r="G16" s="18">
        <f t="shared" si="30"/>
        <v>0.69325662964496249</v>
      </c>
      <c r="H16" s="38">
        <f t="shared" si="7"/>
        <v>54014.339674593612</v>
      </c>
      <c r="I16" s="18">
        <f t="shared" si="8"/>
        <v>4.4821676830181074E-2</v>
      </c>
      <c r="J16" s="17">
        <f t="shared" si="40"/>
        <v>1205094.1306645309</v>
      </c>
      <c r="K16" s="16">
        <f t="shared" si="42"/>
        <v>11171.105121510569</v>
      </c>
      <c r="L16" s="18">
        <f t="shared" si="31"/>
        <v>9.3566376412162113E-3</v>
      </c>
      <c r="M16" s="19">
        <f t="shared" si="32"/>
        <v>26</v>
      </c>
      <c r="N16" s="50">
        <v>2E-3</v>
      </c>
      <c r="O16" s="29">
        <f t="shared" si="9"/>
        <v>5.9919140625476257E-2</v>
      </c>
      <c r="P16" s="17">
        <f t="shared" si="0"/>
        <v>72208.204682224081</v>
      </c>
      <c r="Q16" s="20">
        <f t="shared" si="41"/>
        <v>1.1375350916498521E-2</v>
      </c>
      <c r="R16" s="42">
        <f t="shared" si="33"/>
        <v>0.2</v>
      </c>
      <c r="S16" s="17">
        <f t="shared" si="10"/>
        <v>72917.969405024356</v>
      </c>
      <c r="T16" s="42">
        <f t="shared" si="11"/>
        <v>-0.2</v>
      </c>
      <c r="U16" s="17">
        <f t="shared" si="10"/>
        <v>48611.979603349566</v>
      </c>
      <c r="V16" s="42">
        <f t="shared" si="11"/>
        <v>-0.1</v>
      </c>
      <c r="W16" s="42">
        <f t="shared" si="12"/>
        <v>0.1</v>
      </c>
      <c r="X16" s="29">
        <f t="shared" si="13"/>
        <v>5.9919140625476257E-2</v>
      </c>
      <c r="Y16" s="21">
        <f t="shared" si="1"/>
        <v>2.3045823317490869E-3</v>
      </c>
      <c r="Z16" s="17">
        <f t="shared" si="2"/>
        <v>2777.2386416240033</v>
      </c>
      <c r="AA16" s="17">
        <f t="shared" si="34"/>
        <v>38396.632041545963</v>
      </c>
      <c r="AB16" s="44">
        <v>0</v>
      </c>
      <c r="AC16" s="17">
        <f t="shared" si="14"/>
        <v>0</v>
      </c>
      <c r="AD16" s="17">
        <f t="shared" si="34"/>
        <v>0</v>
      </c>
      <c r="AE16" s="44">
        <v>0.3</v>
      </c>
      <c r="AF16" s="17">
        <f t="shared" si="15"/>
        <v>833.171592487201</v>
      </c>
      <c r="AG16" s="17">
        <f t="shared" si="34"/>
        <v>11518.989612463789</v>
      </c>
      <c r="AH16" s="44">
        <v>0.7</v>
      </c>
      <c r="AI16" s="17">
        <f t="shared" si="16"/>
        <v>1944.0670491368021</v>
      </c>
      <c r="AJ16" s="17">
        <f t="shared" si="35"/>
        <v>26877.642429082178</v>
      </c>
      <c r="AK16" s="37">
        <f t="shared" si="36"/>
        <v>1153.8461538461538</v>
      </c>
      <c r="AL16" s="17">
        <f t="shared" si="34"/>
        <v>17307.692307692312</v>
      </c>
      <c r="AM16" s="37"/>
      <c r="AN16" s="23">
        <f t="shared" si="17"/>
        <v>2</v>
      </c>
      <c r="AO16" s="37"/>
      <c r="AP16" s="23">
        <f t="shared" si="18"/>
        <v>2</v>
      </c>
      <c r="AQ16" s="37"/>
      <c r="AR16" s="23">
        <f t="shared" si="19"/>
        <v>2</v>
      </c>
      <c r="AS16" s="17">
        <f t="shared" si="20"/>
        <v>3931.0847954701571</v>
      </c>
      <c r="AT16" s="17">
        <f t="shared" si="21"/>
        <v>55710.324349238275</v>
      </c>
      <c r="AU16" s="46">
        <f t="shared" si="37"/>
        <v>24400</v>
      </c>
      <c r="AV16" s="17">
        <f t="shared" si="22"/>
        <v>31310.324349238275</v>
      </c>
      <c r="AW16" s="17">
        <f t="shared" si="38"/>
        <v>3742.686595099477</v>
      </c>
      <c r="AX16" s="44">
        <f t="shared" si="39"/>
        <v>0.12</v>
      </c>
      <c r="AY16" s="22">
        <f t="shared" si="3"/>
        <v>0.12</v>
      </c>
      <c r="AZ16" s="12">
        <f t="shared" si="23"/>
        <v>0.12</v>
      </c>
    </row>
    <row r="17" spans="1:56" ht="18.75" thickBot="1" x14ac:dyDescent="0.4">
      <c r="A17" s="5">
        <f t="shared" si="24"/>
        <v>43676</v>
      </c>
      <c r="B17" s="37">
        <f t="shared" si="25"/>
        <v>163140.48480647244</v>
      </c>
      <c r="C17" s="18">
        <f t="shared" si="26"/>
        <v>0.13412115380608849</v>
      </c>
      <c r="D17" s="37">
        <f t="shared" si="27"/>
        <v>155593.08565053923</v>
      </c>
      <c r="E17" s="18">
        <f t="shared" si="28"/>
        <v>0.12791628145800352</v>
      </c>
      <c r="F17" s="37">
        <f t="shared" si="29"/>
        <v>842785.4658105335</v>
      </c>
      <c r="G17" s="18">
        <f t="shared" si="30"/>
        <v>0.69287129567869188</v>
      </c>
      <c r="H17" s="38">
        <f t="shared" si="7"/>
        <v>54847.511267080816</v>
      </c>
      <c r="I17" s="18">
        <f t="shared" si="8"/>
        <v>4.5091269057216068E-2</v>
      </c>
      <c r="J17" s="17">
        <f t="shared" si="40"/>
        <v>1216366.547534626</v>
      </c>
      <c r="K17" s="16">
        <f t="shared" si="42"/>
        <v>11272.416870095069</v>
      </c>
      <c r="L17" s="18">
        <f t="shared" si="31"/>
        <v>9.3539720950089316E-3</v>
      </c>
      <c r="M17" s="19">
        <f t="shared" si="32"/>
        <v>26</v>
      </c>
      <c r="N17" s="50">
        <v>2E-3</v>
      </c>
      <c r="O17" s="29">
        <f t="shared" si="9"/>
        <v>6.0038978906727207E-2</v>
      </c>
      <c r="P17" s="17">
        <f t="shared" si="0"/>
        <v>73029.405490280013</v>
      </c>
      <c r="Q17" s="20">
        <f t="shared" si="41"/>
        <v>1.1372680039199085E-2</v>
      </c>
      <c r="R17" s="42">
        <f t="shared" si="33"/>
        <v>0.2</v>
      </c>
      <c r="S17" s="17">
        <f t="shared" si="10"/>
        <v>72917.969405024356</v>
      </c>
      <c r="T17" s="42">
        <f t="shared" si="11"/>
        <v>-0.2</v>
      </c>
      <c r="U17" s="17">
        <f t="shared" si="10"/>
        <v>48611.979603349566</v>
      </c>
      <c r="V17" s="42">
        <f t="shared" si="11"/>
        <v>-0.1</v>
      </c>
      <c r="W17" s="42">
        <f t="shared" si="12"/>
        <v>0.1</v>
      </c>
      <c r="X17" s="29">
        <f t="shared" si="13"/>
        <v>5.403508101605449E-2</v>
      </c>
      <c r="Y17" s="21">
        <f t="shared" si="1"/>
        <v>2.0782723467713264E-3</v>
      </c>
      <c r="Z17" s="17">
        <f t="shared" si="2"/>
        <v>2527.9409592789234</v>
      </c>
      <c r="AA17" s="17">
        <f t="shared" si="34"/>
        <v>40924.573000824887</v>
      </c>
      <c r="AB17" s="44">
        <v>0</v>
      </c>
      <c r="AC17" s="17">
        <f t="shared" si="14"/>
        <v>0</v>
      </c>
      <c r="AD17" s="17">
        <f t="shared" si="34"/>
        <v>0</v>
      </c>
      <c r="AE17" s="44">
        <v>0.3</v>
      </c>
      <c r="AF17" s="17">
        <f t="shared" si="15"/>
        <v>758.38228778367704</v>
      </c>
      <c r="AG17" s="17">
        <f t="shared" si="34"/>
        <v>12277.371900247466</v>
      </c>
      <c r="AH17" s="44">
        <v>0.7</v>
      </c>
      <c r="AI17" s="17">
        <f t="shared" si="16"/>
        <v>1769.5586714952462</v>
      </c>
      <c r="AJ17" s="17">
        <f t="shared" si="35"/>
        <v>28647.201100577426</v>
      </c>
      <c r="AK17" s="37">
        <f t="shared" si="36"/>
        <v>1153.8461538461538</v>
      </c>
      <c r="AL17" s="17">
        <f t="shared" si="34"/>
        <v>18461.538461538465</v>
      </c>
      <c r="AM17" s="37"/>
      <c r="AN17" s="23">
        <f t="shared" si="17"/>
        <v>2</v>
      </c>
      <c r="AO17" s="37"/>
      <c r="AP17" s="23">
        <f t="shared" si="18"/>
        <v>2</v>
      </c>
      <c r="AQ17" s="37"/>
      <c r="AR17" s="23">
        <f t="shared" si="19"/>
        <v>2</v>
      </c>
      <c r="AS17" s="17">
        <f t="shared" si="20"/>
        <v>3681.7871131250772</v>
      </c>
      <c r="AT17" s="17">
        <f t="shared" si="21"/>
        <v>59392.111462363355</v>
      </c>
      <c r="AU17" s="46">
        <f t="shared" si="37"/>
        <v>24400</v>
      </c>
      <c r="AV17" s="17">
        <f t="shared" si="22"/>
        <v>34992.111462363355</v>
      </c>
      <c r="AW17" s="17">
        <f t="shared" si="38"/>
        <v>4184.5010486744859</v>
      </c>
      <c r="AX17" s="44">
        <f t="shared" si="39"/>
        <v>0.12</v>
      </c>
      <c r="AY17" s="22">
        <f t="shared" si="3"/>
        <v>0.12</v>
      </c>
      <c r="AZ17" s="12">
        <f t="shared" si="23"/>
        <v>0.12</v>
      </c>
    </row>
    <row r="18" spans="1:56" ht="18.75" thickBot="1" x14ac:dyDescent="0.4">
      <c r="A18" s="5">
        <f t="shared" si="24"/>
        <v>43690</v>
      </c>
      <c r="B18" s="37">
        <f t="shared" si="25"/>
        <v>164739.26155757587</v>
      </c>
      <c r="C18" s="18">
        <f t="shared" si="26"/>
        <v>0.13418068396843846</v>
      </c>
      <c r="D18" s="37">
        <f t="shared" si="27"/>
        <v>157117.89788991451</v>
      </c>
      <c r="E18" s="18">
        <f t="shared" si="28"/>
        <v>0.12797305756517457</v>
      </c>
      <c r="F18" s="37">
        <f t="shared" si="29"/>
        <v>850278.9489412728</v>
      </c>
      <c r="G18" s="18">
        <f t="shared" si="30"/>
        <v>0.69255507068684108</v>
      </c>
      <c r="H18" s="38">
        <f t="shared" si="7"/>
        <v>55605.893554864495</v>
      </c>
      <c r="I18" s="18">
        <f t="shared" si="8"/>
        <v>4.5291187779545938E-2</v>
      </c>
      <c r="J18" s="17">
        <f t="shared" si="40"/>
        <v>1227742.0019436276</v>
      </c>
      <c r="K18" s="16">
        <f t="shared" si="42"/>
        <v>11375.454409001628</v>
      </c>
      <c r="L18" s="18">
        <f t="shared" si="31"/>
        <v>9.3519954425397463E-3</v>
      </c>
      <c r="M18" s="19">
        <f t="shared" si="32"/>
        <v>26</v>
      </c>
      <c r="N18" s="50">
        <v>0</v>
      </c>
      <c r="O18" s="29">
        <f t="shared" si="9"/>
        <v>5.403508101605449E-2</v>
      </c>
      <c r="P18" s="17">
        <f t="shared" si="0"/>
        <v>66341.138541836845</v>
      </c>
      <c r="Q18" s="20">
        <f t="shared" si="41"/>
        <v>-9.1583204101714277E-2</v>
      </c>
      <c r="R18" s="42">
        <f t="shared" si="33"/>
        <v>0.2</v>
      </c>
      <c r="S18" s="17">
        <f t="shared" si="10"/>
        <v>72917.969405024356</v>
      </c>
      <c r="T18" s="42">
        <f t="shared" si="11"/>
        <v>-0.2</v>
      </c>
      <c r="U18" s="17">
        <f t="shared" si="10"/>
        <v>48611.979603349566</v>
      </c>
      <c r="V18" s="42">
        <f t="shared" si="11"/>
        <v>-0.1</v>
      </c>
      <c r="W18" s="42">
        <f t="shared" si="12"/>
        <v>0.1</v>
      </c>
      <c r="X18" s="29">
        <f t="shared" si="13"/>
        <v>5.403508101605449E-2</v>
      </c>
      <c r="Y18" s="21">
        <f t="shared" si="1"/>
        <v>2.0782723467713264E-3</v>
      </c>
      <c r="Z18" s="17">
        <f t="shared" si="2"/>
        <v>2551.5822516091093</v>
      </c>
      <c r="AA18" s="17">
        <f t="shared" si="34"/>
        <v>43476.155252433993</v>
      </c>
      <c r="AB18" s="44">
        <v>0</v>
      </c>
      <c r="AC18" s="17">
        <f t="shared" si="14"/>
        <v>0</v>
      </c>
      <c r="AD18" s="17">
        <f t="shared" si="34"/>
        <v>0</v>
      </c>
      <c r="AE18" s="44">
        <v>0.3</v>
      </c>
      <c r="AF18" s="17">
        <f t="shared" si="15"/>
        <v>765.47467548273278</v>
      </c>
      <c r="AG18" s="17">
        <f t="shared" si="34"/>
        <v>13042.846575730198</v>
      </c>
      <c r="AH18" s="44">
        <v>0.7</v>
      </c>
      <c r="AI18" s="17">
        <f t="shared" si="16"/>
        <v>1786.1075761263764</v>
      </c>
      <c r="AJ18" s="17">
        <f t="shared" si="35"/>
        <v>30433.308676703804</v>
      </c>
      <c r="AK18" s="37">
        <f t="shared" si="36"/>
        <v>1153.8461538461538</v>
      </c>
      <c r="AL18" s="17">
        <f t="shared" si="34"/>
        <v>19615.384615384617</v>
      </c>
      <c r="AM18" s="37"/>
      <c r="AN18" s="23">
        <f t="shared" si="17"/>
        <v>2</v>
      </c>
      <c r="AO18" s="37"/>
      <c r="AP18" s="23">
        <f t="shared" si="18"/>
        <v>2</v>
      </c>
      <c r="AQ18" s="37"/>
      <c r="AR18" s="23">
        <f t="shared" si="19"/>
        <v>2</v>
      </c>
      <c r="AS18" s="17">
        <f t="shared" si="20"/>
        <v>3705.4284054552631</v>
      </c>
      <c r="AT18" s="17">
        <f t="shared" si="21"/>
        <v>63097.539867818617</v>
      </c>
      <c r="AU18" s="46">
        <f t="shared" si="37"/>
        <v>24400</v>
      </c>
      <c r="AV18" s="17">
        <f t="shared" si="22"/>
        <v>38697.539867818617</v>
      </c>
      <c r="AW18" s="17">
        <f t="shared" si="38"/>
        <v>4629.1524573291172</v>
      </c>
      <c r="AX18" s="44">
        <f t="shared" si="39"/>
        <v>0.12</v>
      </c>
      <c r="AY18" s="22">
        <f t="shared" si="3"/>
        <v>0.12</v>
      </c>
      <c r="AZ18" s="12">
        <f t="shared" si="23"/>
        <v>0.12</v>
      </c>
    </row>
    <row r="19" spans="1:56" ht="18.75" thickBot="1" x14ac:dyDescent="0.4">
      <c r="A19" s="5">
        <f t="shared" si="24"/>
        <v>43704</v>
      </c>
      <c r="B19" s="37">
        <f t="shared" si="25"/>
        <v>166353.70632084011</v>
      </c>
      <c r="C19" s="18">
        <f t="shared" si="26"/>
        <v>0.13424050112109717</v>
      </c>
      <c r="D19" s="37">
        <f t="shared" si="27"/>
        <v>158657.65328923569</v>
      </c>
      <c r="E19" s="18">
        <f t="shared" si="28"/>
        <v>0.12803010738556733</v>
      </c>
      <c r="F19" s="37">
        <f t="shared" si="29"/>
        <v>857838.70631359483</v>
      </c>
      <c r="G19" s="18">
        <f t="shared" si="30"/>
        <v>0.69224004901046388</v>
      </c>
      <c r="H19" s="38">
        <f t="shared" si="7"/>
        <v>56371.368230347231</v>
      </c>
      <c r="I19" s="18">
        <f t="shared" si="8"/>
        <v>4.5489342482871425E-2</v>
      </c>
      <c r="J19" s="17">
        <f t="shared" si="40"/>
        <v>1239221.4341540181</v>
      </c>
      <c r="K19" s="16">
        <f t="shared" si="42"/>
        <v>11479.432210390456</v>
      </c>
      <c r="L19" s="18">
        <f t="shared" si="31"/>
        <v>9.3500362390611935E-3</v>
      </c>
      <c r="M19" s="19">
        <f t="shared" si="32"/>
        <v>26</v>
      </c>
      <c r="N19" s="50">
        <v>0</v>
      </c>
      <c r="O19" s="29">
        <f t="shared" si="9"/>
        <v>5.403508101605449E-2</v>
      </c>
      <c r="P19" s="17">
        <f t="shared" si="0"/>
        <v>66961.430591343596</v>
      </c>
      <c r="Q19" s="20">
        <f t="shared" si="41"/>
        <v>9.3500362390611658E-3</v>
      </c>
      <c r="R19" s="42">
        <f t="shared" si="33"/>
        <v>0.2</v>
      </c>
      <c r="S19" s="17">
        <f t="shared" si="10"/>
        <v>72917.969405024356</v>
      </c>
      <c r="T19" s="42">
        <f t="shared" ref="T19:V28" si="43">T18</f>
        <v>-0.2</v>
      </c>
      <c r="U19" s="17">
        <f t="shared" si="10"/>
        <v>48611.979603349566</v>
      </c>
      <c r="V19" s="42">
        <f t="shared" si="43"/>
        <v>-0.1</v>
      </c>
      <c r="W19" s="42">
        <f t="shared" si="12"/>
        <v>0.1</v>
      </c>
      <c r="X19" s="29">
        <f t="shared" si="13"/>
        <v>5.403508101605449E-2</v>
      </c>
      <c r="Y19" s="21">
        <f t="shared" si="1"/>
        <v>2.0782723467713264E-3</v>
      </c>
      <c r="Z19" s="17">
        <f t="shared" si="2"/>
        <v>2575.4396381286001</v>
      </c>
      <c r="AA19" s="17">
        <f t="shared" si="34"/>
        <v>46051.594890562592</v>
      </c>
      <c r="AB19" s="44">
        <v>0</v>
      </c>
      <c r="AC19" s="17">
        <f t="shared" si="14"/>
        <v>0</v>
      </c>
      <c r="AD19" s="17">
        <f t="shared" si="34"/>
        <v>0</v>
      </c>
      <c r="AE19" s="44">
        <v>0.3</v>
      </c>
      <c r="AF19" s="17">
        <f t="shared" si="15"/>
        <v>772.63189143858006</v>
      </c>
      <c r="AG19" s="17">
        <f t="shared" si="34"/>
        <v>13815.478467168778</v>
      </c>
      <c r="AH19" s="44">
        <v>0.7</v>
      </c>
      <c r="AI19" s="17">
        <f t="shared" si="16"/>
        <v>1802.8077466900199</v>
      </c>
      <c r="AJ19" s="17">
        <f t="shared" si="35"/>
        <v>32236.116423393825</v>
      </c>
      <c r="AK19" s="37">
        <f t="shared" si="36"/>
        <v>1153.8461538461538</v>
      </c>
      <c r="AL19" s="17">
        <f t="shared" si="34"/>
        <v>20769.23076923077</v>
      </c>
      <c r="AM19" s="37"/>
      <c r="AN19" s="23">
        <f t="shared" si="17"/>
        <v>2</v>
      </c>
      <c r="AO19" s="37"/>
      <c r="AP19" s="23">
        <f t="shared" si="18"/>
        <v>2</v>
      </c>
      <c r="AQ19" s="37"/>
      <c r="AR19" s="23">
        <f t="shared" si="19"/>
        <v>2</v>
      </c>
      <c r="AS19" s="17">
        <f t="shared" si="20"/>
        <v>3729.2857919747539</v>
      </c>
      <c r="AT19" s="17">
        <f t="shared" si="21"/>
        <v>66826.82565979338</v>
      </c>
      <c r="AU19" s="46">
        <f t="shared" si="37"/>
        <v>24400</v>
      </c>
      <c r="AV19" s="17">
        <f t="shared" si="22"/>
        <v>42426.82565979338</v>
      </c>
      <c r="AW19" s="17">
        <f t="shared" si="38"/>
        <v>5076.6667523660872</v>
      </c>
      <c r="AX19" s="44">
        <f t="shared" si="39"/>
        <v>0.12</v>
      </c>
      <c r="AY19" s="22">
        <f t="shared" si="3"/>
        <v>0.12</v>
      </c>
      <c r="AZ19" s="12">
        <f t="shared" si="23"/>
        <v>0.22</v>
      </c>
    </row>
    <row r="20" spans="1:56" ht="18.75" thickBot="1" x14ac:dyDescent="0.4">
      <c r="A20" s="5">
        <f t="shared" si="24"/>
        <v>43718</v>
      </c>
      <c r="B20" s="37">
        <f t="shared" si="25"/>
        <v>167983.97264278436</v>
      </c>
      <c r="C20" s="18">
        <f t="shared" si="26"/>
        <v>0.13430060332457427</v>
      </c>
      <c r="D20" s="37">
        <f t="shared" si="27"/>
        <v>160212.4982914702</v>
      </c>
      <c r="E20" s="18">
        <f t="shared" si="28"/>
        <v>0.12808742906941847</v>
      </c>
      <c r="F20" s="37">
        <f t="shared" si="29"/>
        <v>865465.32195149339</v>
      </c>
      <c r="G20" s="18">
        <f t="shared" si="30"/>
        <v>0.69192621811456589</v>
      </c>
      <c r="H20" s="38">
        <f t="shared" si="7"/>
        <v>57144.000121785808</v>
      </c>
      <c r="I20" s="18">
        <f t="shared" si="8"/>
        <v>4.568574949144133E-2</v>
      </c>
      <c r="J20" s="17">
        <f t="shared" si="40"/>
        <v>1250805.7930075338</v>
      </c>
      <c r="K20" s="16">
        <f t="shared" si="42"/>
        <v>11584.358853515703</v>
      </c>
      <c r="L20" s="18">
        <f t="shared" si="31"/>
        <v>9.3480943229682124E-3</v>
      </c>
      <c r="M20" s="19">
        <f t="shared" si="32"/>
        <v>26</v>
      </c>
      <c r="N20" s="50">
        <v>1E-3</v>
      </c>
      <c r="O20" s="29">
        <f t="shared" si="9"/>
        <v>5.4089116097070539E-2</v>
      </c>
      <c r="P20" s="17">
        <f t="shared" si="0"/>
        <v>67654.979752872881</v>
      </c>
      <c r="Q20" s="20">
        <f t="shared" si="41"/>
        <v>1.0357442417291233E-2</v>
      </c>
      <c r="R20" s="42">
        <f t="shared" si="33"/>
        <v>0.2</v>
      </c>
      <c r="S20" s="17">
        <f t="shared" si="10"/>
        <v>72917.969405024356</v>
      </c>
      <c r="T20" s="42">
        <f t="shared" si="43"/>
        <v>-0.2</v>
      </c>
      <c r="U20" s="17">
        <f t="shared" si="10"/>
        <v>48611.979603349566</v>
      </c>
      <c r="V20" s="42">
        <f t="shared" si="43"/>
        <v>-0.1</v>
      </c>
      <c r="W20" s="42">
        <f t="shared" si="12"/>
        <v>0.1</v>
      </c>
      <c r="X20" s="29">
        <f t="shared" si="13"/>
        <v>5.4089116097070539E-2</v>
      </c>
      <c r="Y20" s="21">
        <f t="shared" si="1"/>
        <v>2.0803506191180978E-3</v>
      </c>
      <c r="Z20" s="17">
        <f t="shared" si="2"/>
        <v>2602.1146058797262</v>
      </c>
      <c r="AA20" s="17">
        <f t="shared" ref="AA20:AL28" si="44">AA19+Z20</f>
        <v>48653.709496442316</v>
      </c>
      <c r="AB20" s="44">
        <v>0</v>
      </c>
      <c r="AC20" s="17">
        <f t="shared" si="14"/>
        <v>0</v>
      </c>
      <c r="AD20" s="17">
        <f t="shared" si="44"/>
        <v>0</v>
      </c>
      <c r="AE20" s="44">
        <v>0.3</v>
      </c>
      <c r="AF20" s="17">
        <f t="shared" si="15"/>
        <v>780.63438176391787</v>
      </c>
      <c r="AG20" s="17">
        <f t="shared" si="44"/>
        <v>14596.112848932695</v>
      </c>
      <c r="AH20" s="44">
        <v>0.7</v>
      </c>
      <c r="AI20" s="17">
        <f t="shared" si="16"/>
        <v>1821.4802241158081</v>
      </c>
      <c r="AJ20" s="17">
        <f t="shared" si="35"/>
        <v>34057.596647509636</v>
      </c>
      <c r="AK20" s="37">
        <f t="shared" si="36"/>
        <v>1153.8461538461538</v>
      </c>
      <c r="AL20" s="17">
        <f t="shared" si="44"/>
        <v>21923.076923076922</v>
      </c>
      <c r="AM20" s="37"/>
      <c r="AN20" s="23">
        <f t="shared" si="17"/>
        <v>2</v>
      </c>
      <c r="AO20" s="37"/>
      <c r="AP20" s="23">
        <f t="shared" si="18"/>
        <v>2</v>
      </c>
      <c r="AQ20" s="37"/>
      <c r="AR20" s="23">
        <f t="shared" si="19"/>
        <v>2</v>
      </c>
      <c r="AS20" s="17">
        <f t="shared" si="20"/>
        <v>3755.9607597258801</v>
      </c>
      <c r="AT20" s="17">
        <f t="shared" si="21"/>
        <v>70582.786419519267</v>
      </c>
      <c r="AU20" s="46">
        <f t="shared" si="37"/>
        <v>24400</v>
      </c>
      <c r="AV20" s="17">
        <f t="shared" si="22"/>
        <v>46182.786419519267</v>
      </c>
      <c r="AW20" s="17">
        <f t="shared" si="38"/>
        <v>5527.3820435331927</v>
      </c>
      <c r="AX20" s="44">
        <f t="shared" si="39"/>
        <v>0.12</v>
      </c>
      <c r="AY20" s="22">
        <f t="shared" si="3"/>
        <v>0.12</v>
      </c>
      <c r="AZ20" s="12">
        <f t="shared" si="23"/>
        <v>0.22</v>
      </c>
    </row>
    <row r="21" spans="1:56" ht="18.75" thickBot="1" x14ac:dyDescent="0.4">
      <c r="A21" s="5">
        <f t="shared" si="24"/>
        <v>43732</v>
      </c>
      <c r="B21" s="37">
        <f t="shared" si="25"/>
        <v>169630.21557468365</v>
      </c>
      <c r="C21" s="18">
        <f t="shared" si="26"/>
        <v>0.13436098947172009</v>
      </c>
      <c r="D21" s="37">
        <f t="shared" si="27"/>
        <v>161782.58077472661</v>
      </c>
      <c r="E21" s="18">
        <f t="shared" si="28"/>
        <v>0.12814502156079857</v>
      </c>
      <c r="F21" s="37">
        <f t="shared" si="29"/>
        <v>873158.5975079129</v>
      </c>
      <c r="G21" s="18">
        <f t="shared" si="30"/>
        <v>0.69161294601580214</v>
      </c>
      <c r="H21" s="38">
        <f t="shared" si="7"/>
        <v>57924.634503549729</v>
      </c>
      <c r="I21" s="18">
        <f t="shared" si="8"/>
        <v>4.5881042951679302E-2</v>
      </c>
      <c r="J21" s="17">
        <f t="shared" si="40"/>
        <v>1262496.0283608728</v>
      </c>
      <c r="K21" s="16">
        <f t="shared" si="42"/>
        <v>11690.235353338998</v>
      </c>
      <c r="L21" s="18">
        <f t="shared" si="31"/>
        <v>9.3461634241636306E-3</v>
      </c>
      <c r="M21" s="19">
        <f t="shared" si="32"/>
        <v>26</v>
      </c>
      <c r="N21" s="50">
        <v>1E-3</v>
      </c>
      <c r="O21" s="29">
        <f t="shared" si="9"/>
        <v>5.4143205213167601E-2</v>
      </c>
      <c r="P21" s="17">
        <f t="shared" si="0"/>
        <v>68355.581544351793</v>
      </c>
      <c r="Q21" s="20">
        <f t="shared" si="41"/>
        <v>1.0355509587587478E-2</v>
      </c>
      <c r="R21" s="42">
        <f t="shared" si="33"/>
        <v>0.2</v>
      </c>
      <c r="S21" s="17">
        <f t="shared" si="10"/>
        <v>72917.969405024356</v>
      </c>
      <c r="T21" s="42">
        <f t="shared" si="43"/>
        <v>-0.2</v>
      </c>
      <c r="U21" s="17">
        <f t="shared" si="10"/>
        <v>48611.979603349566</v>
      </c>
      <c r="V21" s="42">
        <f t="shared" si="43"/>
        <v>-0.1</v>
      </c>
      <c r="W21" s="42">
        <f t="shared" si="12"/>
        <v>0.1</v>
      </c>
      <c r="X21" s="29">
        <f t="shared" si="13"/>
        <v>5.4143205213167601E-2</v>
      </c>
      <c r="Y21" s="21">
        <f t="shared" si="1"/>
        <v>2.0824309697372156E-3</v>
      </c>
      <c r="Z21" s="17">
        <f t="shared" si="2"/>
        <v>2629.0608286289153</v>
      </c>
      <c r="AA21" s="17">
        <f t="shared" si="44"/>
        <v>51282.770325071229</v>
      </c>
      <c r="AB21" s="44">
        <v>0</v>
      </c>
      <c r="AC21" s="17">
        <f t="shared" si="14"/>
        <v>0</v>
      </c>
      <c r="AD21" s="17">
        <f t="shared" si="44"/>
        <v>0</v>
      </c>
      <c r="AE21" s="44">
        <v>0.3</v>
      </c>
      <c r="AF21" s="17">
        <f t="shared" si="15"/>
        <v>788.71824858867456</v>
      </c>
      <c r="AG21" s="17">
        <f t="shared" si="44"/>
        <v>15384.83109752137</v>
      </c>
      <c r="AH21" s="44">
        <v>0.7</v>
      </c>
      <c r="AI21" s="17">
        <f t="shared" si="16"/>
        <v>1840.3425800402406</v>
      </c>
      <c r="AJ21" s="17">
        <f t="shared" si="35"/>
        <v>35897.939227549876</v>
      </c>
      <c r="AK21" s="37">
        <f t="shared" si="36"/>
        <v>1153.8461538461538</v>
      </c>
      <c r="AL21" s="17">
        <f t="shared" si="44"/>
        <v>23076.923076923074</v>
      </c>
      <c r="AM21" s="37"/>
      <c r="AN21" s="23">
        <f t="shared" si="17"/>
        <v>2</v>
      </c>
      <c r="AO21" s="37"/>
      <c r="AP21" s="23">
        <f t="shared" si="18"/>
        <v>2</v>
      </c>
      <c r="AQ21" s="37"/>
      <c r="AR21" s="23">
        <f t="shared" si="19"/>
        <v>2</v>
      </c>
      <c r="AS21" s="17">
        <f t="shared" si="20"/>
        <v>3782.9069824750691</v>
      </c>
      <c r="AT21" s="17">
        <f t="shared" si="21"/>
        <v>74365.693401994344</v>
      </c>
      <c r="AU21" s="46">
        <f t="shared" si="37"/>
        <v>24400</v>
      </c>
      <c r="AV21" s="17">
        <f t="shared" si="22"/>
        <v>49965.693401994344</v>
      </c>
      <c r="AW21" s="17">
        <f t="shared" si="38"/>
        <v>5981.3308814302009</v>
      </c>
      <c r="AX21" s="44">
        <f t="shared" si="39"/>
        <v>0.12</v>
      </c>
      <c r="AY21" s="22">
        <f t="shared" si="3"/>
        <v>0.12</v>
      </c>
      <c r="AZ21" s="12">
        <f t="shared" si="23"/>
        <v>0.22</v>
      </c>
    </row>
    <row r="22" spans="1:56" ht="18.75" thickBot="1" x14ac:dyDescent="0.4">
      <c r="A22" s="5">
        <f t="shared" si="24"/>
        <v>43746</v>
      </c>
      <c r="B22" s="37">
        <f t="shared" si="25"/>
        <v>171292.59168731555</v>
      </c>
      <c r="C22" s="18">
        <f t="shared" si="26"/>
        <v>0.1344216584692699</v>
      </c>
      <c r="D22" s="37">
        <f t="shared" si="27"/>
        <v>163368.05006631895</v>
      </c>
      <c r="E22" s="18">
        <f t="shared" si="28"/>
        <v>0.12820288381702086</v>
      </c>
      <c r="F22" s="37">
        <f t="shared" si="29"/>
        <v>880919.10407606559</v>
      </c>
      <c r="G22" s="18">
        <f t="shared" si="30"/>
        <v>0.69130022367416177</v>
      </c>
      <c r="H22" s="38">
        <f t="shared" si="7"/>
        <v>58713.352752138402</v>
      </c>
      <c r="I22" s="18">
        <f t="shared" si="8"/>
        <v>4.6075234039547518E-2</v>
      </c>
      <c r="J22" s="17">
        <f t="shared" si="40"/>
        <v>1274293.0985818384</v>
      </c>
      <c r="K22" s="16">
        <f t="shared" si="42"/>
        <v>11797.070220965659</v>
      </c>
      <c r="L22" s="18">
        <f t="shared" si="31"/>
        <v>9.3442434320225656E-3</v>
      </c>
      <c r="M22" s="19">
        <f t="shared" si="32"/>
        <v>26</v>
      </c>
      <c r="N22" s="50">
        <v>2E-3</v>
      </c>
      <c r="O22" s="29">
        <f t="shared" si="9"/>
        <v>5.4251491623593939E-2</v>
      </c>
      <c r="P22" s="17">
        <f t="shared" si="0"/>
        <v>69132.301363716178</v>
      </c>
      <c r="Q22" s="20">
        <f t="shared" si="41"/>
        <v>1.1362931918886814E-2</v>
      </c>
      <c r="R22" s="42">
        <f t="shared" si="33"/>
        <v>0.2</v>
      </c>
      <c r="S22" s="17">
        <f t="shared" si="10"/>
        <v>72917.969405024356</v>
      </c>
      <c r="T22" s="42">
        <f t="shared" si="43"/>
        <v>-0.2</v>
      </c>
      <c r="U22" s="17">
        <f t="shared" si="10"/>
        <v>48611.979603349566</v>
      </c>
      <c r="V22" s="42">
        <f t="shared" si="43"/>
        <v>-0.1</v>
      </c>
      <c r="W22" s="42">
        <f t="shared" si="12"/>
        <v>0.1</v>
      </c>
      <c r="X22" s="29">
        <f t="shared" si="13"/>
        <v>5.4251491623593939E-2</v>
      </c>
      <c r="Y22" s="21">
        <f t="shared" si="1"/>
        <v>2.0865958316766899E-3</v>
      </c>
      <c r="Z22" s="17">
        <f t="shared" si="2"/>
        <v>2658.9346678352372</v>
      </c>
      <c r="AA22" s="17">
        <f t="shared" si="44"/>
        <v>53941.704992906467</v>
      </c>
      <c r="AB22" s="44">
        <v>0</v>
      </c>
      <c r="AC22" s="17">
        <f t="shared" si="14"/>
        <v>0</v>
      </c>
      <c r="AD22" s="17">
        <f t="shared" si="44"/>
        <v>0</v>
      </c>
      <c r="AE22" s="44">
        <v>0.3</v>
      </c>
      <c r="AF22" s="17">
        <f t="shared" si="15"/>
        <v>797.68040035057118</v>
      </c>
      <c r="AG22" s="17">
        <f t="shared" si="44"/>
        <v>16182.511497871941</v>
      </c>
      <c r="AH22" s="44">
        <v>0.7</v>
      </c>
      <c r="AI22" s="17">
        <f t="shared" si="16"/>
        <v>1861.2542674846659</v>
      </c>
      <c r="AJ22" s="17">
        <f t="shared" si="35"/>
        <v>37759.193495034539</v>
      </c>
      <c r="AK22" s="37">
        <f t="shared" si="36"/>
        <v>1153.8461538461538</v>
      </c>
      <c r="AL22" s="17">
        <f t="shared" si="44"/>
        <v>24230.769230769227</v>
      </c>
      <c r="AM22" s="37"/>
      <c r="AN22" s="23">
        <f t="shared" si="17"/>
        <v>2</v>
      </c>
      <c r="AO22" s="37"/>
      <c r="AP22" s="23">
        <f t="shared" si="18"/>
        <v>2</v>
      </c>
      <c r="AQ22" s="37"/>
      <c r="AR22" s="23">
        <f t="shared" si="19"/>
        <v>2</v>
      </c>
      <c r="AS22" s="17">
        <f t="shared" si="20"/>
        <v>3812.780821681391</v>
      </c>
      <c r="AT22" s="17">
        <f t="shared" si="21"/>
        <v>78178.47422367573</v>
      </c>
      <c r="AU22" s="46">
        <f t="shared" si="37"/>
        <v>24400</v>
      </c>
      <c r="AV22" s="17">
        <f t="shared" si="22"/>
        <v>53778.47422367573</v>
      </c>
      <c r="AW22" s="17">
        <f t="shared" si="38"/>
        <v>6438.8645800319682</v>
      </c>
      <c r="AX22" s="44">
        <f t="shared" si="39"/>
        <v>0.12</v>
      </c>
      <c r="AY22" s="22">
        <f t="shared" si="3"/>
        <v>0.12</v>
      </c>
      <c r="AZ22" s="12">
        <f t="shared" si="23"/>
        <v>0.22</v>
      </c>
    </row>
    <row r="23" spans="1:56" ht="18.75" thickBot="1" x14ac:dyDescent="0.4">
      <c r="A23" s="5">
        <f t="shared" si="24"/>
        <v>43760</v>
      </c>
      <c r="B23" s="37">
        <f t="shared" si="25"/>
        <v>172971.25908585126</v>
      </c>
      <c r="C23" s="18">
        <f t="shared" si="26"/>
        <v>0.13448261005343271</v>
      </c>
      <c r="D23" s="37">
        <f t="shared" si="27"/>
        <v>164969.05695696888</v>
      </c>
      <c r="E23" s="18">
        <f t="shared" si="28"/>
        <v>0.12826101558649813</v>
      </c>
      <c r="F23" s="37">
        <f t="shared" si="29"/>
        <v>888746.61362773704</v>
      </c>
      <c r="G23" s="18">
        <f t="shared" si="30"/>
        <v>0.69098742131191659</v>
      </c>
      <c r="H23" s="38">
        <f t="shared" si="7"/>
        <v>59511.03315248897</v>
      </c>
      <c r="I23" s="18">
        <f t="shared" si="8"/>
        <v>4.6268953048152539E-2</v>
      </c>
      <c r="J23" s="17">
        <f t="shared" si="40"/>
        <v>1286197.9628230461</v>
      </c>
      <c r="K23" s="16">
        <f t="shared" si="42"/>
        <v>11904.864241207717</v>
      </c>
      <c r="L23" s="18">
        <f t="shared" si="31"/>
        <v>9.3423281146673767E-3</v>
      </c>
      <c r="M23" s="19">
        <f t="shared" si="32"/>
        <v>26</v>
      </c>
      <c r="N23" s="50">
        <v>2E-3</v>
      </c>
      <c r="O23" s="29">
        <f t="shared" si="9"/>
        <v>5.4359994606841128E-2</v>
      </c>
      <c r="P23" s="17">
        <f t="shared" si="0"/>
        <v>69917.714322390835</v>
      </c>
      <c r="Q23" s="20">
        <f t="shared" si="41"/>
        <v>1.136101277089667E-2</v>
      </c>
      <c r="R23" s="42">
        <f t="shared" si="33"/>
        <v>0.2</v>
      </c>
      <c r="S23" s="17">
        <f t="shared" si="10"/>
        <v>72917.969405024356</v>
      </c>
      <c r="T23" s="42">
        <f t="shared" si="43"/>
        <v>-0.2</v>
      </c>
      <c r="U23" s="17">
        <f t="shared" si="10"/>
        <v>48611.979603349566</v>
      </c>
      <c r="V23" s="42">
        <f t="shared" si="43"/>
        <v>-0.1</v>
      </c>
      <c r="W23" s="42">
        <f t="shared" si="12"/>
        <v>0.1</v>
      </c>
      <c r="X23" s="29">
        <f t="shared" si="13"/>
        <v>5.4359994606841128E-2</v>
      </c>
      <c r="Y23" s="21">
        <f t="shared" si="1"/>
        <v>2.0907690233400436E-3</v>
      </c>
      <c r="Z23" s="17">
        <f t="shared" si="2"/>
        <v>2689.1428585534936</v>
      </c>
      <c r="AA23" s="17">
        <f t="shared" si="44"/>
        <v>56630.847851459963</v>
      </c>
      <c r="AB23" s="44">
        <v>0</v>
      </c>
      <c r="AC23" s="17">
        <f t="shared" si="14"/>
        <v>0</v>
      </c>
      <c r="AD23" s="17">
        <f t="shared" si="44"/>
        <v>0</v>
      </c>
      <c r="AE23" s="44">
        <v>0.3</v>
      </c>
      <c r="AF23" s="17">
        <f t="shared" si="15"/>
        <v>806.74285756604809</v>
      </c>
      <c r="AG23" s="17">
        <f t="shared" si="44"/>
        <v>16989.254355437988</v>
      </c>
      <c r="AH23" s="44">
        <v>0.7</v>
      </c>
      <c r="AI23" s="17">
        <f t="shared" si="16"/>
        <v>1882.4000009874453</v>
      </c>
      <c r="AJ23" s="17">
        <f t="shared" si="35"/>
        <v>39641.593496021982</v>
      </c>
      <c r="AK23" s="37">
        <f t="shared" si="36"/>
        <v>1153.8461538461538</v>
      </c>
      <c r="AL23" s="17">
        <f t="shared" si="44"/>
        <v>25384.615384615379</v>
      </c>
      <c r="AM23" s="37"/>
      <c r="AN23" s="23">
        <f t="shared" si="17"/>
        <v>2</v>
      </c>
      <c r="AO23" s="37"/>
      <c r="AP23" s="23">
        <f t="shared" si="18"/>
        <v>2</v>
      </c>
      <c r="AQ23" s="37"/>
      <c r="AR23" s="23">
        <f t="shared" si="19"/>
        <v>2</v>
      </c>
      <c r="AS23" s="17">
        <f t="shared" si="20"/>
        <v>3842.9890123996474</v>
      </c>
      <c r="AT23" s="17">
        <f t="shared" si="21"/>
        <v>82021.463236075375</v>
      </c>
      <c r="AU23" s="46">
        <f t="shared" si="37"/>
        <v>24400</v>
      </c>
      <c r="AV23" s="17">
        <f t="shared" si="22"/>
        <v>57621.463236075375</v>
      </c>
      <c r="AW23" s="17">
        <f t="shared" si="38"/>
        <v>6900.0232615199257</v>
      </c>
      <c r="AX23" s="44">
        <f t="shared" si="39"/>
        <v>0.12</v>
      </c>
      <c r="AY23" s="22">
        <f t="shared" si="3"/>
        <v>0.12</v>
      </c>
      <c r="AZ23" s="12">
        <f t="shared" si="23"/>
        <v>0.22</v>
      </c>
    </row>
    <row r="24" spans="1:56" ht="18.75" thickBot="1" x14ac:dyDescent="0.4">
      <c r="A24" s="5">
        <f t="shared" si="24"/>
        <v>43774</v>
      </c>
      <c r="B24" s="37">
        <f t="shared" si="25"/>
        <v>174666.37742489259</v>
      </c>
      <c r="C24" s="18">
        <f t="shared" si="26"/>
        <v>0.13454384397077651</v>
      </c>
      <c r="D24" s="37">
        <f t="shared" si="27"/>
        <v>166585.75371514718</v>
      </c>
      <c r="E24" s="18">
        <f t="shared" si="28"/>
        <v>0.12831941662752297</v>
      </c>
      <c r="F24" s="37">
        <f t="shared" si="29"/>
        <v>896641.6815037186</v>
      </c>
      <c r="G24" s="18">
        <f t="shared" si="30"/>
        <v>0.69067453205643869</v>
      </c>
      <c r="H24" s="38">
        <f t="shared" si="7"/>
        <v>60317.776010055015</v>
      </c>
      <c r="I24" s="18">
        <f t="shared" si="8"/>
        <v>4.6462207345261651E-2</v>
      </c>
      <c r="J24" s="17">
        <f t="shared" si="40"/>
        <v>1298211.5886538136</v>
      </c>
      <c r="K24" s="16">
        <f t="shared" si="42"/>
        <v>12013.625830767443</v>
      </c>
      <c r="L24" s="18">
        <f t="shared" si="31"/>
        <v>9.3404173991995867E-3</v>
      </c>
      <c r="M24" s="19">
        <f t="shared" si="32"/>
        <v>26</v>
      </c>
      <c r="N24" s="50">
        <v>-1E-3</v>
      </c>
      <c r="O24" s="29">
        <f t="shared" si="9"/>
        <v>5.430563461223429E-2</v>
      </c>
      <c r="P24" s="17">
        <f t="shared" si="0"/>
        <v>70500.204182802205</v>
      </c>
      <c r="Q24" s="20">
        <f t="shared" si="41"/>
        <v>8.3310769818004445E-3</v>
      </c>
      <c r="R24" s="42">
        <f t="shared" si="33"/>
        <v>0.2</v>
      </c>
      <c r="S24" s="17">
        <f t="shared" si="10"/>
        <v>72917.969405024356</v>
      </c>
      <c r="T24" s="42">
        <f t="shared" si="43"/>
        <v>-0.2</v>
      </c>
      <c r="U24" s="17">
        <f t="shared" si="10"/>
        <v>48611.979603349566</v>
      </c>
      <c r="V24" s="42">
        <f t="shared" si="43"/>
        <v>-0.1</v>
      </c>
      <c r="W24" s="42">
        <f t="shared" si="12"/>
        <v>0.1</v>
      </c>
      <c r="X24" s="29">
        <f t="shared" si="13"/>
        <v>5.430563461223429E-2</v>
      </c>
      <c r="Y24" s="21">
        <f t="shared" si="1"/>
        <v>2.0886782543167036E-3</v>
      </c>
      <c r="Z24" s="17">
        <f t="shared" si="2"/>
        <v>2711.5463147231617</v>
      </c>
      <c r="AA24" s="17">
        <f t="shared" si="44"/>
        <v>59342.394166183127</v>
      </c>
      <c r="AB24" s="44">
        <v>1</v>
      </c>
      <c r="AC24" s="17">
        <f t="shared" si="14"/>
        <v>2711.5463147231617</v>
      </c>
      <c r="AD24" s="17">
        <f t="shared" si="44"/>
        <v>2711.5463147231617</v>
      </c>
      <c r="AE24" s="44">
        <v>0</v>
      </c>
      <c r="AF24" s="17">
        <f t="shared" si="15"/>
        <v>0</v>
      </c>
      <c r="AG24" s="17">
        <f t="shared" si="44"/>
        <v>16989.254355437988</v>
      </c>
      <c r="AH24" s="44">
        <v>0</v>
      </c>
      <c r="AI24" s="17">
        <f t="shared" si="16"/>
        <v>0</v>
      </c>
      <c r="AJ24" s="17">
        <f t="shared" si="35"/>
        <v>39641.593496021982</v>
      </c>
      <c r="AK24" s="37">
        <f t="shared" si="36"/>
        <v>1153.8461538461538</v>
      </c>
      <c r="AL24" s="17">
        <f t="shared" si="44"/>
        <v>26538.461538461532</v>
      </c>
      <c r="AM24" s="37"/>
      <c r="AN24" s="23">
        <f t="shared" si="17"/>
        <v>2</v>
      </c>
      <c r="AO24" s="37"/>
      <c r="AP24" s="23">
        <f t="shared" si="18"/>
        <v>2</v>
      </c>
      <c r="AQ24" s="37"/>
      <c r="AR24" s="23">
        <f t="shared" si="19"/>
        <v>2</v>
      </c>
      <c r="AS24" s="17">
        <f t="shared" si="20"/>
        <v>3865.3924685693155</v>
      </c>
      <c r="AT24" s="17">
        <f t="shared" si="21"/>
        <v>85886.855704644695</v>
      </c>
      <c r="AU24" s="46">
        <f t="shared" si="37"/>
        <v>24400</v>
      </c>
      <c r="AV24" s="17">
        <f t="shared" si="22"/>
        <v>61486.855704644695</v>
      </c>
      <c r="AW24" s="17">
        <f t="shared" si="38"/>
        <v>7363.8703577482438</v>
      </c>
      <c r="AX24" s="44">
        <f t="shared" si="39"/>
        <v>0.12</v>
      </c>
      <c r="AY24" s="22">
        <f t="shared" si="3"/>
        <v>0.12</v>
      </c>
      <c r="AZ24" s="12">
        <f t="shared" si="23"/>
        <v>0.22</v>
      </c>
    </row>
    <row r="25" spans="1:56" ht="18.75" thickBot="1" x14ac:dyDescent="0.4">
      <c r="A25" s="5">
        <f t="shared" si="24"/>
        <v>43788</v>
      </c>
      <c r="B25" s="37">
        <f t="shared" si="25"/>
        <v>179116.22739226397</v>
      </c>
      <c r="C25" s="18">
        <f t="shared" si="26"/>
        <v>0.13669415908501645</v>
      </c>
      <c r="D25" s="37">
        <f t="shared" si="27"/>
        <v>168218.29410155563</v>
      </c>
      <c r="E25" s="18">
        <f t="shared" si="28"/>
        <v>0.12837730332813643</v>
      </c>
      <c r="F25" s="37">
        <f t="shared" si="29"/>
        <v>902690.65051384759</v>
      </c>
      <c r="G25" s="18">
        <f t="shared" si="30"/>
        <v>0.68889648460308184</v>
      </c>
      <c r="H25" s="38">
        <f t="shared" si="7"/>
        <v>60317.776010055015</v>
      </c>
      <c r="I25" s="18">
        <f t="shared" si="8"/>
        <v>4.6032052983765302E-2</v>
      </c>
      <c r="J25" s="17">
        <f t="shared" si="40"/>
        <v>1310342.9480177222</v>
      </c>
      <c r="K25" s="16">
        <f t="shared" si="42"/>
        <v>12131.359363908647</v>
      </c>
      <c r="L25" s="18">
        <f t="shared" si="31"/>
        <v>9.3446703680162922E-3</v>
      </c>
      <c r="M25" s="19">
        <f t="shared" si="32"/>
        <v>26</v>
      </c>
      <c r="N25" s="50">
        <v>-1E-3</v>
      </c>
      <c r="O25" s="29">
        <f t="shared" si="9"/>
        <v>5.4251328977622054E-2</v>
      </c>
      <c r="P25" s="17">
        <f t="shared" si="0"/>
        <v>71087.846346416569</v>
      </c>
      <c r="Q25" s="20">
        <f t="shared" si="41"/>
        <v>8.33532569764831E-3</v>
      </c>
      <c r="R25" s="42">
        <f t="shared" si="33"/>
        <v>0.2</v>
      </c>
      <c r="S25" s="17">
        <f t="shared" si="10"/>
        <v>72917.969405024356</v>
      </c>
      <c r="T25" s="42">
        <f t="shared" si="43"/>
        <v>-0.2</v>
      </c>
      <c r="U25" s="17">
        <f t="shared" si="10"/>
        <v>48611.979603349566</v>
      </c>
      <c r="V25" s="42">
        <f t="shared" si="43"/>
        <v>-0.1</v>
      </c>
      <c r="W25" s="42">
        <f t="shared" si="12"/>
        <v>0.1</v>
      </c>
      <c r="X25" s="29">
        <f t="shared" si="13"/>
        <v>5.4251328977622054E-2</v>
      </c>
      <c r="Y25" s="21">
        <f t="shared" si="1"/>
        <v>2.0865895760623868E-3</v>
      </c>
      <c r="Z25" s="17">
        <f t="shared" si="2"/>
        <v>2734.1479364006373</v>
      </c>
      <c r="AA25" s="17">
        <f t="shared" si="44"/>
        <v>62076.542102583764</v>
      </c>
      <c r="AB25" s="44">
        <v>1</v>
      </c>
      <c r="AC25" s="17">
        <f t="shared" si="14"/>
        <v>2734.1479364006373</v>
      </c>
      <c r="AD25" s="17">
        <f t="shared" si="44"/>
        <v>5445.6942511237994</v>
      </c>
      <c r="AE25" s="44">
        <v>0</v>
      </c>
      <c r="AF25" s="17">
        <f t="shared" si="15"/>
        <v>0</v>
      </c>
      <c r="AG25" s="17">
        <f t="shared" si="44"/>
        <v>16989.254355437988</v>
      </c>
      <c r="AH25" s="44">
        <v>0</v>
      </c>
      <c r="AI25" s="17">
        <f t="shared" si="16"/>
        <v>0</v>
      </c>
      <c r="AJ25" s="17">
        <f t="shared" si="35"/>
        <v>39641.593496021982</v>
      </c>
      <c r="AK25" s="37">
        <f t="shared" si="36"/>
        <v>1153.8461538461538</v>
      </c>
      <c r="AL25" s="17">
        <f t="shared" si="44"/>
        <v>27692.307692307684</v>
      </c>
      <c r="AM25" s="37"/>
      <c r="AN25" s="23">
        <f t="shared" si="17"/>
        <v>2</v>
      </c>
      <c r="AO25" s="37"/>
      <c r="AP25" s="23">
        <f t="shared" si="18"/>
        <v>2</v>
      </c>
      <c r="AQ25" s="37"/>
      <c r="AR25" s="23">
        <f t="shared" si="19"/>
        <v>2</v>
      </c>
      <c r="AS25" s="17">
        <f t="shared" si="20"/>
        <v>3887.9940902467911</v>
      </c>
      <c r="AT25" s="17">
        <f t="shared" si="21"/>
        <v>89774.849794891488</v>
      </c>
      <c r="AU25" s="46">
        <f t="shared" si="37"/>
        <v>24400</v>
      </c>
      <c r="AV25" s="17">
        <f t="shared" si="22"/>
        <v>65374.849794891488</v>
      </c>
      <c r="AW25" s="17">
        <f t="shared" si="38"/>
        <v>7830.4296485778586</v>
      </c>
      <c r="AX25" s="44">
        <f t="shared" si="39"/>
        <v>0.12</v>
      </c>
      <c r="AY25" s="22">
        <f t="shared" si="3"/>
        <v>0.12</v>
      </c>
      <c r="AZ25" s="12">
        <f t="shared" si="23"/>
        <v>0.22</v>
      </c>
    </row>
    <row r="26" spans="1:56" ht="18.75" thickBot="1" x14ac:dyDescent="0.4">
      <c r="A26" s="5">
        <f t="shared" si="24"/>
        <v>43802</v>
      </c>
      <c r="B26" s="37">
        <f t="shared" si="25"/>
        <v>183632.50900688552</v>
      </c>
      <c r="C26" s="18">
        <f t="shared" si="26"/>
        <v>0.13884277474153087</v>
      </c>
      <c r="D26" s="37">
        <f t="shared" si="27"/>
        <v>169866.83338375087</v>
      </c>
      <c r="E26" s="18">
        <f t="shared" si="28"/>
        <v>0.12843467973676131</v>
      </c>
      <c r="F26" s="37">
        <f t="shared" si="29"/>
        <v>908776.07630270603</v>
      </c>
      <c r="G26" s="18">
        <f t="shared" si="30"/>
        <v>0.68711685493475305</v>
      </c>
      <c r="H26" s="38">
        <f t="shared" si="7"/>
        <v>60317.776010055015</v>
      </c>
      <c r="I26" s="18">
        <f t="shared" si="8"/>
        <v>4.5605690586954649E-2</v>
      </c>
      <c r="J26" s="17">
        <f t="shared" si="40"/>
        <v>1322593.1947033976</v>
      </c>
      <c r="K26" s="16">
        <f t="shared" si="42"/>
        <v>12250.246685675345</v>
      </c>
      <c r="L26" s="18">
        <f t="shared" si="31"/>
        <v>9.3488858807592584E-3</v>
      </c>
      <c r="M26" s="19">
        <f t="shared" si="32"/>
        <v>26</v>
      </c>
      <c r="N26" s="50">
        <v>-1E-3</v>
      </c>
      <c r="O26" s="29">
        <f t="shared" si="9"/>
        <v>5.4197077648644433E-2</v>
      </c>
      <c r="P26" s="17">
        <f t="shared" si="0"/>
        <v>71680.686070908749</v>
      </c>
      <c r="Q26" s="20">
        <f t="shared" si="41"/>
        <v>8.3395369948785058E-3</v>
      </c>
      <c r="R26" s="42">
        <f t="shared" si="33"/>
        <v>0.2</v>
      </c>
      <c r="S26" s="17">
        <f t="shared" si="10"/>
        <v>72917.969405024356</v>
      </c>
      <c r="T26" s="42">
        <f t="shared" si="43"/>
        <v>-0.2</v>
      </c>
      <c r="U26" s="17">
        <f t="shared" si="10"/>
        <v>48611.979603349566</v>
      </c>
      <c r="V26" s="42">
        <f t="shared" si="43"/>
        <v>-0.1</v>
      </c>
      <c r="W26" s="42">
        <f t="shared" si="12"/>
        <v>0.1</v>
      </c>
      <c r="X26" s="29">
        <f t="shared" si="13"/>
        <v>5.4197077648644433E-2</v>
      </c>
      <c r="Y26" s="21">
        <f t="shared" si="1"/>
        <v>2.0845029864863243E-3</v>
      </c>
      <c r="Z26" s="17">
        <f t="shared" si="2"/>
        <v>2756.949464265721</v>
      </c>
      <c r="AA26" s="17">
        <f t="shared" si="44"/>
        <v>64833.491566849487</v>
      </c>
      <c r="AB26" s="44">
        <v>0.5</v>
      </c>
      <c r="AC26" s="17">
        <f t="shared" si="14"/>
        <v>1378.4747321328605</v>
      </c>
      <c r="AD26" s="17">
        <f t="shared" si="44"/>
        <v>6824.1689832566599</v>
      </c>
      <c r="AE26" s="44">
        <v>0.5</v>
      </c>
      <c r="AF26" s="17">
        <f t="shared" si="15"/>
        <v>1378.4747321328605</v>
      </c>
      <c r="AG26" s="17">
        <f t="shared" si="44"/>
        <v>18367.72908757085</v>
      </c>
      <c r="AH26" s="44">
        <v>0</v>
      </c>
      <c r="AI26" s="17">
        <f t="shared" si="16"/>
        <v>0</v>
      </c>
      <c r="AJ26" s="17">
        <f t="shared" si="35"/>
        <v>39641.593496021982</v>
      </c>
      <c r="AK26" s="37">
        <f t="shared" si="36"/>
        <v>1153.8461538461538</v>
      </c>
      <c r="AL26" s="17">
        <f t="shared" si="44"/>
        <v>28846.153846153837</v>
      </c>
      <c r="AM26" s="37"/>
      <c r="AN26" s="23">
        <f t="shared" si="17"/>
        <v>2</v>
      </c>
      <c r="AO26" s="37"/>
      <c r="AP26" s="23">
        <f t="shared" si="18"/>
        <v>2</v>
      </c>
      <c r="AQ26" s="37"/>
      <c r="AR26" s="23">
        <f t="shared" si="19"/>
        <v>2</v>
      </c>
      <c r="AS26" s="17">
        <f t="shared" si="20"/>
        <v>3910.7956181118748</v>
      </c>
      <c r="AT26" s="17">
        <f t="shared" si="21"/>
        <v>93685.645413003367</v>
      </c>
      <c r="AU26" s="46">
        <f t="shared" si="37"/>
        <v>24400</v>
      </c>
      <c r="AV26" s="17">
        <f t="shared" si="22"/>
        <v>69285.645413003367</v>
      </c>
      <c r="AW26" s="17">
        <f t="shared" si="38"/>
        <v>8299.7251227512843</v>
      </c>
      <c r="AX26" s="44">
        <f t="shared" si="39"/>
        <v>0.12</v>
      </c>
      <c r="AY26" s="22">
        <f t="shared" si="3"/>
        <v>0.12</v>
      </c>
      <c r="AZ26" s="12">
        <f t="shared" si="23"/>
        <v>0.22</v>
      </c>
    </row>
    <row r="27" spans="1:56" ht="18.75" thickBot="1" x14ac:dyDescent="0.4">
      <c r="A27" s="5">
        <f t="shared" si="24"/>
        <v>43816</v>
      </c>
      <c r="B27" s="37">
        <f t="shared" si="25"/>
        <v>186824.09137966076</v>
      </c>
      <c r="C27" s="18">
        <f t="shared" si="26"/>
        <v>0.13994838272091345</v>
      </c>
      <c r="D27" s="37">
        <f t="shared" si="27"/>
        <v>171531.52835091163</v>
      </c>
      <c r="E27" s="18">
        <f t="shared" si="28"/>
        <v>0.12849285015160544</v>
      </c>
      <c r="F27" s="37">
        <f t="shared" si="29"/>
        <v>914898.11428145703</v>
      </c>
      <c r="G27" s="18">
        <f t="shared" si="30"/>
        <v>0.68534261562608456</v>
      </c>
      <c r="H27" s="38">
        <f t="shared" si="7"/>
        <v>61696.250742187876</v>
      </c>
      <c r="I27" s="18">
        <f t="shared" si="8"/>
        <v>4.6216151501396519E-2</v>
      </c>
      <c r="J27" s="17">
        <f t="shared" si="40"/>
        <v>1334949.9847542173</v>
      </c>
      <c r="K27" s="16">
        <f t="shared" si="42"/>
        <v>12356.790050819749</v>
      </c>
      <c r="L27" s="18">
        <f t="shared" si="31"/>
        <v>9.3428501676139815E-3</v>
      </c>
      <c r="M27" s="19">
        <f t="shared" si="32"/>
        <v>26</v>
      </c>
      <c r="N27" s="50">
        <v>-1E-3</v>
      </c>
      <c r="O27" s="29">
        <f t="shared" si="9"/>
        <v>5.414288057099579E-2</v>
      </c>
      <c r="P27" s="17">
        <f t="shared" si="0"/>
        <v>72278.037592800232</v>
      </c>
      <c r="Q27" s="20">
        <f t="shared" si="41"/>
        <v>8.3335073174462225E-3</v>
      </c>
      <c r="R27" s="42">
        <f t="shared" si="33"/>
        <v>0.2</v>
      </c>
      <c r="S27" s="17">
        <f t="shared" si="10"/>
        <v>72917.969405024356</v>
      </c>
      <c r="T27" s="42">
        <f t="shared" si="43"/>
        <v>-0.2</v>
      </c>
      <c r="U27" s="17">
        <f t="shared" si="10"/>
        <v>48611.979603349566</v>
      </c>
      <c r="V27" s="42">
        <f t="shared" si="43"/>
        <v>-0.1</v>
      </c>
      <c r="W27" s="42">
        <f t="shared" si="12"/>
        <v>0.1</v>
      </c>
      <c r="X27" s="29">
        <f t="shared" si="13"/>
        <v>5.414288057099579E-2</v>
      </c>
      <c r="Y27" s="21">
        <f t="shared" si="1"/>
        <v>2.0824184834998382E-3</v>
      </c>
      <c r="Z27" s="17">
        <f t="shared" si="2"/>
        <v>2779.9245228000095</v>
      </c>
      <c r="AA27" s="17">
        <f t="shared" si="44"/>
        <v>67613.416089649501</v>
      </c>
      <c r="AB27" s="44">
        <v>0.5</v>
      </c>
      <c r="AC27" s="17">
        <f t="shared" si="14"/>
        <v>1389.9622614000048</v>
      </c>
      <c r="AD27" s="17">
        <f t="shared" si="44"/>
        <v>8214.1312446566644</v>
      </c>
      <c r="AE27" s="44">
        <v>0.5</v>
      </c>
      <c r="AF27" s="17">
        <f t="shared" si="15"/>
        <v>1389.9622614000048</v>
      </c>
      <c r="AG27" s="17">
        <f t="shared" si="44"/>
        <v>19757.691348970853</v>
      </c>
      <c r="AH27" s="44">
        <v>0</v>
      </c>
      <c r="AI27" s="17">
        <f t="shared" si="16"/>
        <v>0</v>
      </c>
      <c r="AJ27" s="17">
        <f t="shared" si="35"/>
        <v>39641.593496021982</v>
      </c>
      <c r="AK27" s="37">
        <f t="shared" si="36"/>
        <v>1153.8461538461538</v>
      </c>
      <c r="AL27" s="17">
        <f t="shared" si="44"/>
        <v>29999.999999999989</v>
      </c>
      <c r="AM27" s="37"/>
      <c r="AN27" s="23">
        <f t="shared" si="17"/>
        <v>2</v>
      </c>
      <c r="AO27" s="37"/>
      <c r="AP27" s="23">
        <f t="shared" si="18"/>
        <v>2</v>
      </c>
      <c r="AQ27" s="37"/>
      <c r="AR27" s="23">
        <f t="shared" si="19"/>
        <v>2</v>
      </c>
      <c r="AS27" s="17">
        <f t="shared" si="20"/>
        <v>3933.7706766461633</v>
      </c>
      <c r="AT27" s="17">
        <f t="shared" si="21"/>
        <v>97619.41608964953</v>
      </c>
      <c r="AU27" s="46">
        <f t="shared" si="37"/>
        <v>24400</v>
      </c>
      <c r="AV27" s="17">
        <f t="shared" si="22"/>
        <v>73219.41608964953</v>
      </c>
      <c r="AW27" s="17">
        <f t="shared" si="38"/>
        <v>8771.7776039488235</v>
      </c>
      <c r="AX27" s="44">
        <f t="shared" si="39"/>
        <v>0.12</v>
      </c>
      <c r="AY27" s="22">
        <f t="shared" si="3"/>
        <v>0.12</v>
      </c>
      <c r="AZ27" s="12">
        <f t="shared" si="23"/>
        <v>0.22</v>
      </c>
    </row>
    <row r="28" spans="1:56" ht="18.75" thickBot="1" x14ac:dyDescent="0.4">
      <c r="A28" s="5">
        <f t="shared" si="24"/>
        <v>43830</v>
      </c>
      <c r="B28" s="37">
        <f t="shared" si="25"/>
        <v>190058.55136674317</v>
      </c>
      <c r="C28" s="18">
        <f t="shared" si="26"/>
        <v>0.14105428334798215</v>
      </c>
      <c r="D28" s="37">
        <f t="shared" si="27"/>
        <v>173212.53732875056</v>
      </c>
      <c r="E28" s="18">
        <f t="shared" si="28"/>
        <v>0.12855180755664616</v>
      </c>
      <c r="F28" s="37">
        <f t="shared" si="29"/>
        <v>921056.94801829185</v>
      </c>
      <c r="G28" s="18">
        <f t="shared" si="30"/>
        <v>0.68357370289908093</v>
      </c>
      <c r="H28" s="38">
        <f t="shared" si="7"/>
        <v>63086.21300358788</v>
      </c>
      <c r="I28" s="18">
        <f t="shared" si="8"/>
        <v>4.6820206196290799E-2</v>
      </c>
      <c r="J28" s="17">
        <f t="shared" si="40"/>
        <v>1347414.2497173734</v>
      </c>
      <c r="K28" s="16">
        <f t="shared" si="42"/>
        <v>12464.264963156078</v>
      </c>
      <c r="L28" s="18">
        <f t="shared" si="31"/>
        <v>9.3368778647170969E-3</v>
      </c>
      <c r="M28" s="19">
        <f t="shared" si="32"/>
        <v>26</v>
      </c>
      <c r="N28" s="50">
        <v>-1E-3</v>
      </c>
      <c r="O28" s="29">
        <f t="shared" si="9"/>
        <v>5.4088737690424792E-2</v>
      </c>
      <c r="P28" s="17">
        <f t="shared" si="0"/>
        <v>72879.935913303532</v>
      </c>
      <c r="Q28" s="20">
        <f t="shared" si="41"/>
        <v>8.3275409868523668E-3</v>
      </c>
      <c r="R28" s="42">
        <f t="shared" si="33"/>
        <v>0.2</v>
      </c>
      <c r="S28" s="17">
        <f t="shared" si="10"/>
        <v>72917.969405024356</v>
      </c>
      <c r="T28" s="42">
        <f t="shared" si="43"/>
        <v>-0.2</v>
      </c>
      <c r="U28" s="17">
        <f t="shared" si="10"/>
        <v>48611.979603349566</v>
      </c>
      <c r="V28" s="42">
        <f t="shared" si="43"/>
        <v>-0.1</v>
      </c>
      <c r="W28" s="42">
        <f t="shared" si="12"/>
        <v>0.1</v>
      </c>
      <c r="X28" s="29">
        <f t="shared" si="13"/>
        <v>5.4088737690424792E-2</v>
      </c>
      <c r="Y28" s="21">
        <f t="shared" si="1"/>
        <v>2.0803360650163381E-3</v>
      </c>
      <c r="Z28" s="17">
        <f t="shared" si="2"/>
        <v>2803.074458203982</v>
      </c>
      <c r="AA28" s="17">
        <f t="shared" si="44"/>
        <v>70416.490547853478</v>
      </c>
      <c r="AB28" s="44">
        <v>0.5</v>
      </c>
      <c r="AC28" s="17">
        <f t="shared" si="14"/>
        <v>1401.537229101991</v>
      </c>
      <c r="AD28" s="17">
        <f t="shared" si="44"/>
        <v>9615.6684737586547</v>
      </c>
      <c r="AE28" s="44">
        <v>0.5</v>
      </c>
      <c r="AF28" s="17">
        <f t="shared" si="15"/>
        <v>1401.537229101991</v>
      </c>
      <c r="AG28" s="17">
        <f t="shared" si="44"/>
        <v>21159.228578072845</v>
      </c>
      <c r="AH28" s="44">
        <v>0</v>
      </c>
      <c r="AI28" s="17">
        <f t="shared" si="16"/>
        <v>0</v>
      </c>
      <c r="AJ28" s="17">
        <f t="shared" si="35"/>
        <v>39641.593496021982</v>
      </c>
      <c r="AK28" s="47">
        <f t="shared" si="36"/>
        <v>1153.8461538461538</v>
      </c>
      <c r="AL28" s="17">
        <f t="shared" si="44"/>
        <v>31153.846153846142</v>
      </c>
      <c r="AM28" s="47"/>
      <c r="AN28" s="23">
        <f t="shared" si="17"/>
        <v>2</v>
      </c>
      <c r="AO28" s="47"/>
      <c r="AP28" s="23">
        <f t="shared" si="18"/>
        <v>2</v>
      </c>
      <c r="AQ28" s="47"/>
      <c r="AR28" s="23">
        <f t="shared" si="19"/>
        <v>2</v>
      </c>
      <c r="AS28" s="17">
        <f t="shared" si="20"/>
        <v>3956.9206120501358</v>
      </c>
      <c r="AT28" s="17">
        <f t="shared" si="21"/>
        <v>101576.33670169966</v>
      </c>
      <c r="AU28" s="46">
        <f t="shared" si="37"/>
        <v>24400</v>
      </c>
      <c r="AV28" s="17">
        <f t="shared" si="22"/>
        <v>77176.336701699664</v>
      </c>
      <c r="AW28" s="17">
        <f t="shared" si="38"/>
        <v>9246.6080773948397</v>
      </c>
      <c r="AX28" s="44">
        <f t="shared" si="39"/>
        <v>0.12</v>
      </c>
      <c r="AY28" s="22">
        <f t="shared" si="3"/>
        <v>0.12</v>
      </c>
      <c r="AZ28" s="12">
        <f t="shared" si="23"/>
        <v>0.22</v>
      </c>
    </row>
    <row r="29" spans="1:56" ht="18.75" thickBot="1" x14ac:dyDescent="0.4">
      <c r="A29" s="51" t="s">
        <v>13</v>
      </c>
      <c r="Y29" s="52">
        <f>SUM(Y2:Y28)</f>
        <v>5.8961309531912642E-2</v>
      </c>
      <c r="Z29" s="31">
        <f>SUM(Z2:Z28)</f>
        <v>70416.490547853478</v>
      </c>
      <c r="AC29" s="27">
        <f>SUM(AC2:AC28)</f>
        <v>9615.6684737586547</v>
      </c>
      <c r="AF29" s="31">
        <f>SUM(AF2:AF28)</f>
        <v>21159.228578072845</v>
      </c>
      <c r="AI29" s="31">
        <f>SUM(AI2:AI28)</f>
        <v>39641.593496021982</v>
      </c>
      <c r="AK29" s="27">
        <f>SUM(AK2:AK28)</f>
        <v>31153.846153846142</v>
      </c>
      <c r="AM29" s="31">
        <f>SUM(AM2:AM28)</f>
        <v>2</v>
      </c>
      <c r="AO29" s="31">
        <f>SUM(AO2:AO28)</f>
        <v>2</v>
      </c>
      <c r="AQ29" s="31">
        <f>SUM(AQ2:AQ28)</f>
        <v>2</v>
      </c>
      <c r="AS29" s="27">
        <f>SUM(AS2:AS28)</f>
        <v>101576.33670169963</v>
      </c>
    </row>
    <row r="31" spans="1:56" x14ac:dyDescent="0.3">
      <c r="BD31" s="1"/>
    </row>
    <row r="32" spans="1:56" x14ac:dyDescent="0.3">
      <c r="K32" s="28"/>
    </row>
  </sheetData>
  <conditionalFormatting sqref="AY2:AZ28">
    <cfRule type="cellIs" dxfId="11" priority="1" operator="greaterThan">
      <formula>$AX$2</formula>
    </cfRule>
    <cfRule type="cellIs" dxfId="10" priority="2" operator="greaterThan">
      <formula>"2$AS$2"</formula>
    </cfRule>
  </conditionalFormatting>
  <pageMargins left="0.75" right="0.75" top="0.75" bottom="0.5" header="0.5" footer="0.75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2EC9D-5612-489D-A203-DC6520F687DE}">
  <sheetPr>
    <tabColor rgb="FF00B0F0"/>
  </sheetPr>
  <dimension ref="A1:BD32"/>
  <sheetViews>
    <sheetView workbookViewId="0"/>
  </sheetViews>
  <sheetFormatPr defaultColWidth="13.28515625" defaultRowHeight="16.5" x14ac:dyDescent="0.3"/>
  <cols>
    <col min="1" max="1" width="14" style="1" bestFit="1" customWidth="1"/>
    <col min="2" max="2" width="16.85546875" style="24" bestFit="1" customWidth="1"/>
    <col min="3" max="3" width="9.28515625" style="24" bestFit="1" customWidth="1"/>
    <col min="4" max="4" width="16.85546875" style="24" bestFit="1" customWidth="1"/>
    <col min="5" max="5" width="10.7109375" style="24" bestFit="1" customWidth="1"/>
    <col min="6" max="6" width="19.28515625" style="24" bestFit="1" customWidth="1"/>
    <col min="7" max="7" width="15.7109375" style="24" bestFit="1" customWidth="1"/>
    <col min="8" max="8" width="15.5703125" style="24" bestFit="1" customWidth="1"/>
    <col min="9" max="9" width="6.5703125" style="24" bestFit="1" customWidth="1"/>
    <col min="10" max="10" width="19.28515625" style="24" bestFit="1" customWidth="1"/>
    <col min="11" max="11" width="14.28515625" style="24" bestFit="1" customWidth="1"/>
    <col min="12" max="12" width="6.7109375" style="24" bestFit="1" customWidth="1"/>
    <col min="13" max="13" width="8.5703125" style="24" customWidth="1"/>
    <col min="14" max="14" width="7.85546875" style="24" bestFit="1" customWidth="1"/>
    <col min="15" max="15" width="13" style="24" bestFit="1" customWidth="1"/>
    <col min="16" max="16" width="15.5703125" style="24" bestFit="1" customWidth="1"/>
    <col min="17" max="17" width="13" style="24" bestFit="1" customWidth="1"/>
    <col min="18" max="18" width="9.140625" style="24" bestFit="1" customWidth="1"/>
    <col min="19" max="19" width="16.28515625" style="24" bestFit="1" customWidth="1"/>
    <col min="20" max="20" width="10.42578125" style="24" bestFit="1" customWidth="1"/>
    <col min="21" max="21" width="15.5703125" style="24" bestFit="1" customWidth="1"/>
    <col min="22" max="22" width="10.42578125" style="24" bestFit="1" customWidth="1"/>
    <col min="23" max="23" width="11" style="24" bestFit="1" customWidth="1"/>
    <col min="24" max="25" width="13.140625" style="24" bestFit="1" customWidth="1"/>
    <col min="26" max="27" width="15.5703125" style="24" bestFit="1" customWidth="1"/>
    <col min="28" max="28" width="7.7109375" style="24" bestFit="1" customWidth="1"/>
    <col min="29" max="30" width="15.5703125" style="24" bestFit="1" customWidth="1"/>
    <col min="31" max="31" width="7.28515625" style="24" bestFit="1" customWidth="1"/>
    <col min="32" max="33" width="15.5703125" style="24" bestFit="1" customWidth="1"/>
    <col min="34" max="34" width="7.140625" style="24" bestFit="1" customWidth="1"/>
    <col min="35" max="38" width="15.5703125" style="24" bestFit="1" customWidth="1"/>
    <col min="39" max="40" width="9.85546875" style="24" bestFit="1" customWidth="1"/>
    <col min="41" max="42" width="11.85546875" style="24" bestFit="1" customWidth="1"/>
    <col min="43" max="44" width="9.28515625" style="24" bestFit="1" customWidth="1"/>
    <col min="45" max="46" width="16.85546875" style="24" bestFit="1" customWidth="1"/>
    <col min="47" max="47" width="15.5703125" style="24" bestFit="1" customWidth="1"/>
    <col min="48" max="49" width="16.42578125" style="24" bestFit="1" customWidth="1"/>
    <col min="50" max="50" width="8.140625" style="24" bestFit="1" customWidth="1"/>
    <col min="51" max="52" width="5.5703125" style="24" bestFit="1" customWidth="1"/>
    <col min="53" max="53" width="8.42578125" style="24" customWidth="1"/>
    <col min="54" max="54" width="6" style="24" bestFit="1" customWidth="1"/>
    <col min="55" max="55" width="15.7109375" style="24" bestFit="1" customWidth="1"/>
    <col min="56" max="56" width="18.7109375" style="24" bestFit="1" customWidth="1"/>
    <col min="57" max="57" width="23.85546875" style="1" bestFit="1" customWidth="1"/>
    <col min="58" max="16384" width="13.28515625" style="1"/>
  </cols>
  <sheetData>
    <row r="1" spans="1:56" s="2" customFormat="1" ht="54.75" thickBot="1" x14ac:dyDescent="0.35">
      <c r="A1" s="3" t="s">
        <v>5</v>
      </c>
      <c r="B1" s="3" t="s">
        <v>1</v>
      </c>
      <c r="C1" s="3" t="s">
        <v>1</v>
      </c>
      <c r="D1" s="3" t="s">
        <v>4</v>
      </c>
      <c r="E1" s="3" t="s">
        <v>4</v>
      </c>
      <c r="F1" s="3" t="s">
        <v>3</v>
      </c>
      <c r="G1" s="3" t="s">
        <v>3</v>
      </c>
      <c r="H1" s="3" t="s">
        <v>0</v>
      </c>
      <c r="I1" s="3" t="s">
        <v>0</v>
      </c>
      <c r="J1" s="3" t="s">
        <v>9</v>
      </c>
      <c r="K1" s="3" t="s">
        <v>11</v>
      </c>
      <c r="L1" s="3" t="s">
        <v>11</v>
      </c>
      <c r="M1" s="3" t="s">
        <v>31</v>
      </c>
      <c r="N1" s="3" t="s">
        <v>24</v>
      </c>
      <c r="O1" s="39" t="s">
        <v>15</v>
      </c>
      <c r="P1" s="3" t="s">
        <v>15</v>
      </c>
      <c r="Q1" s="3" t="s">
        <v>28</v>
      </c>
      <c r="R1" s="3" t="s">
        <v>16</v>
      </c>
      <c r="S1" s="3" t="s">
        <v>16</v>
      </c>
      <c r="T1" s="3" t="s">
        <v>17</v>
      </c>
      <c r="U1" s="3" t="s">
        <v>19</v>
      </c>
      <c r="V1" s="3" t="s">
        <v>29</v>
      </c>
      <c r="W1" s="3" t="s">
        <v>30</v>
      </c>
      <c r="X1" s="3" t="s">
        <v>18</v>
      </c>
      <c r="Y1" s="3" t="s">
        <v>32</v>
      </c>
      <c r="Z1" s="3" t="s">
        <v>10</v>
      </c>
      <c r="AA1" s="3" t="s">
        <v>27</v>
      </c>
      <c r="AB1" s="3" t="s">
        <v>7</v>
      </c>
      <c r="AC1" s="3" t="s">
        <v>7</v>
      </c>
      <c r="AD1" s="3" t="s">
        <v>26</v>
      </c>
      <c r="AE1" s="3" t="s">
        <v>39</v>
      </c>
      <c r="AF1" s="3" t="s">
        <v>39</v>
      </c>
      <c r="AG1" s="3" t="s">
        <v>40</v>
      </c>
      <c r="AH1" s="3" t="s">
        <v>41</v>
      </c>
      <c r="AI1" s="3" t="s">
        <v>41</v>
      </c>
      <c r="AJ1" s="3" t="s">
        <v>42</v>
      </c>
      <c r="AK1" s="3" t="s">
        <v>2</v>
      </c>
      <c r="AL1" s="3" t="s">
        <v>25</v>
      </c>
      <c r="AM1" s="3" t="s">
        <v>8</v>
      </c>
      <c r="AN1" s="3" t="s">
        <v>35</v>
      </c>
      <c r="AO1" s="3" t="s">
        <v>12</v>
      </c>
      <c r="AP1" s="3" t="s">
        <v>36</v>
      </c>
      <c r="AQ1" s="3" t="s">
        <v>37</v>
      </c>
      <c r="AR1" s="3" t="s">
        <v>37</v>
      </c>
      <c r="AS1" s="3" t="s">
        <v>64</v>
      </c>
      <c r="AT1" s="3" t="s">
        <v>33</v>
      </c>
      <c r="AU1" s="3" t="s">
        <v>38</v>
      </c>
      <c r="AV1" s="3" t="s">
        <v>34</v>
      </c>
      <c r="AW1" s="3" t="s">
        <v>63</v>
      </c>
      <c r="AX1" s="3" t="s">
        <v>6</v>
      </c>
      <c r="AY1" s="3" t="s">
        <v>22</v>
      </c>
      <c r="AZ1" s="3" t="s">
        <v>23</v>
      </c>
      <c r="BA1" s="6"/>
      <c r="BB1" s="3" t="s">
        <v>14</v>
      </c>
      <c r="BC1" s="3" t="s">
        <v>20</v>
      </c>
      <c r="BD1" s="3" t="s">
        <v>21</v>
      </c>
    </row>
    <row r="2" spans="1:56" s="4" customFormat="1" ht="18.75" thickBot="1" x14ac:dyDescent="0.4">
      <c r="A2" s="34">
        <v>43831</v>
      </c>
      <c r="B2" s="35">
        <f>'GK Cash Flow 2019'!B28</f>
        <v>190058.55136674317</v>
      </c>
      <c r="C2" s="10">
        <f>IF(J2&lt;=0,0,B2/J2)</f>
        <v>0.14105428334798215</v>
      </c>
      <c r="D2" s="35">
        <f>'GK Cash Flow 2019'!D28</f>
        <v>173212.53732875056</v>
      </c>
      <c r="E2" s="10">
        <f>IF(J2&lt;=0,0,D2/J2)</f>
        <v>0.12855180755664616</v>
      </c>
      <c r="F2" s="35">
        <f>'GK Cash Flow 2019'!F28</f>
        <v>921056.94801829185</v>
      </c>
      <c r="G2" s="10">
        <f>IF(J2&lt;=0,0,F2/J2)</f>
        <v>0.68357370289908093</v>
      </c>
      <c r="H2" s="35">
        <f>'GK Cash Flow 2019'!H28</f>
        <v>63086.21300358788</v>
      </c>
      <c r="I2" s="10">
        <f>IF(J2&lt;=0,0,H2/J2)</f>
        <v>4.6820206196290799E-2</v>
      </c>
      <c r="J2" s="9">
        <f>B2+D2+F2+H2</f>
        <v>1347414.2497173734</v>
      </c>
      <c r="K2" s="7">
        <v>0</v>
      </c>
      <c r="L2" s="10">
        <v>0</v>
      </c>
      <c r="M2" s="48">
        <v>26</v>
      </c>
      <c r="N2" s="49">
        <v>4.0000000000000003E-5</v>
      </c>
      <c r="O2" s="40">
        <f>'GK Cash Flow 2019'!Y29</f>
        <v>5.8961309531912642E-2</v>
      </c>
      <c r="P2" s="9">
        <f t="shared" ref="P2:P28" si="0">J2*O2</f>
        <v>79445.308645295896</v>
      </c>
      <c r="Q2" s="8">
        <v>0</v>
      </c>
      <c r="R2" s="41">
        <v>0.2</v>
      </c>
      <c r="S2" s="9">
        <f>IF($P$2&gt;0,$P$2+$P$2*R2)</f>
        <v>95334.370374355072</v>
      </c>
      <c r="T2" s="41">
        <v>-0.2</v>
      </c>
      <c r="U2" s="9">
        <f>IF($P$2&gt;0,$P$2+$P$2*T2)</f>
        <v>63556.24691623672</v>
      </c>
      <c r="V2" s="41">
        <v>-0.1</v>
      </c>
      <c r="W2" s="41">
        <v>0.1</v>
      </c>
      <c r="X2" s="30">
        <f>O2</f>
        <v>5.8961309531912642E-2</v>
      </c>
      <c r="Y2" s="11">
        <f t="shared" ref="Y2:Y28" si="1">X2/M2</f>
        <v>2.2677426743043325E-3</v>
      </c>
      <c r="Z2" s="9">
        <f t="shared" ref="Z2:Z28" si="2">Y2*J2</f>
        <v>3055.5887940498419</v>
      </c>
      <c r="AA2" s="9">
        <f>Z2</f>
        <v>3055.5887940498419</v>
      </c>
      <c r="AB2" s="43">
        <v>0</v>
      </c>
      <c r="AC2" s="9">
        <f>Z2*AB2</f>
        <v>0</v>
      </c>
      <c r="AD2" s="9">
        <f>AC2</f>
        <v>0</v>
      </c>
      <c r="AE2" s="43">
        <v>0.3</v>
      </c>
      <c r="AF2" s="9">
        <f>Z2*AE2</f>
        <v>916.6766382149525</v>
      </c>
      <c r="AG2" s="9">
        <f>AF2</f>
        <v>916.6766382149525</v>
      </c>
      <c r="AH2" s="43">
        <v>0.7</v>
      </c>
      <c r="AI2" s="9">
        <f>Z2*AH2</f>
        <v>2138.9121558348893</v>
      </c>
      <c r="AJ2" s="9">
        <f>AI2</f>
        <v>2138.9121558348893</v>
      </c>
      <c r="AK2" s="36">
        <f>30000/M2</f>
        <v>1153.8461538461538</v>
      </c>
      <c r="AL2" s="9">
        <f>AK2</f>
        <v>1153.8461538461538</v>
      </c>
      <c r="AM2" s="36">
        <v>1</v>
      </c>
      <c r="AN2" s="13">
        <f>AM2</f>
        <v>1</v>
      </c>
      <c r="AO2" s="36">
        <v>1</v>
      </c>
      <c r="AP2" s="13">
        <f>AO2</f>
        <v>1</v>
      </c>
      <c r="AQ2" s="36">
        <v>1</v>
      </c>
      <c r="AR2" s="13">
        <f>AQ2</f>
        <v>1</v>
      </c>
      <c r="AS2" s="9">
        <f>Z2+AK2+AM2+AO2+AQ2</f>
        <v>4212.4349478959957</v>
      </c>
      <c r="AT2" s="9">
        <f>Z2+AK2+AM2+AO2+AQ2</f>
        <v>4212.4349478959957</v>
      </c>
      <c r="AU2" s="45">
        <v>24800</v>
      </c>
      <c r="AV2" s="9">
        <f>AT2-AU2</f>
        <v>-20587.565052104004</v>
      </c>
      <c r="AW2" s="9">
        <f>AS2*AY2</f>
        <v>0</v>
      </c>
      <c r="AX2" s="43">
        <v>0.12</v>
      </c>
      <c r="AY2" s="12">
        <f t="shared" ref="AY2:AY28" si="3">IF(AV2&lt;$BC$2,0,IF(AV2&lt;$BC$3,$BB$2,IF(AV2&lt;$BC$4,$BB$3,IF(AV2&lt;$BC$5,$BB$4,IF(AV2&lt;$BC$6,$BB$5,IF(AV2&lt;$BC$7,$BB$6,IF(AV2&lt;$BC$8,$BB$7,$BB$8)))))))</f>
        <v>0</v>
      </c>
      <c r="AZ2" s="12">
        <f>IF(AV2&lt;$BD$2,0,IF(AV2&lt;$BD$3,$BB$2,IF(AV2&lt;$BD$4,$BB$3,IF(AV2&lt;$BD$5,$BB$4,IF(AV2&lt;$BD$6,$BB$5,IF(AV2&lt;$BD$7,$BB$6,IF(AV2&lt;$BD$8,$BB$7,$BB$8)))))))</f>
        <v>0</v>
      </c>
      <c r="BA2" s="14"/>
      <c r="BB2" s="12">
        <v>0.1</v>
      </c>
      <c r="BC2" s="15">
        <v>0</v>
      </c>
      <c r="BD2" s="15">
        <v>0</v>
      </c>
    </row>
    <row r="3" spans="1:56" ht="18.75" thickBot="1" x14ac:dyDescent="0.4">
      <c r="A3" s="5">
        <f>A2+FLOOR(365/$M$2,1)</f>
        <v>43845</v>
      </c>
      <c r="B3" s="37">
        <f>(B2+AC2)*(1+0.1228/M3)</f>
        <v>190956.21252473685</v>
      </c>
      <c r="C3" s="18">
        <f t="shared" ref="C3" si="4">IF(J3&lt;=0,0,B3/J3)</f>
        <v>0.1410857869601683</v>
      </c>
      <c r="D3" s="37">
        <f>D2*(1+0.1228/M3)</f>
        <v>174030.63346659558</v>
      </c>
      <c r="E3" s="18">
        <f t="shared" ref="E3" si="5">IF(J3&lt;=0,0,D3/J3)</f>
        <v>0.12858051881726845</v>
      </c>
      <c r="F3" s="37">
        <f>(F2-(AC2+AF2))*(1+0.1228/M3)</f>
        <v>924486.16466182575</v>
      </c>
      <c r="G3" s="18">
        <f t="shared" ref="G3" si="6">IF(J3&lt;=0,0,F3/J3)</f>
        <v>0.68304590015999089</v>
      </c>
      <c r="H3" s="38">
        <f t="shared" ref="H3" si="7">H2+AF2</f>
        <v>64002.889641802831</v>
      </c>
      <c r="I3" s="18">
        <f t="shared" ref="I3" si="8">IF(J3&lt;=0,0,H3/J3)</f>
        <v>4.7287794062572358E-2</v>
      </c>
      <c r="J3" s="17">
        <f>B3+D3+F3+H3</f>
        <v>1353475.9002949609</v>
      </c>
      <c r="K3" s="16">
        <f>IF(J3=0,0,J3-J2)</f>
        <v>6061.6505775875412</v>
      </c>
      <c r="L3" s="18">
        <f>IF(J3=0,0,K3/J2)</f>
        <v>4.4987282707296596E-3</v>
      </c>
      <c r="M3" s="19">
        <f>M2</f>
        <v>26</v>
      </c>
      <c r="N3" s="50">
        <v>4.0000000000000001E-3</v>
      </c>
      <c r="O3" s="29">
        <f t="shared" ref="O3:O28" si="9">IF(J3=0,0,X2*(1+N3))</f>
        <v>5.919715477004029E-2</v>
      </c>
      <c r="P3" s="17">
        <f t="shared" si="0"/>
        <v>80121.92234728043</v>
      </c>
      <c r="Q3" s="20">
        <f>IF(P3=0,0,(P3-P2)/P2)</f>
        <v>8.5167231838125315E-3</v>
      </c>
      <c r="R3" s="42">
        <f>R2</f>
        <v>0.2</v>
      </c>
      <c r="S3" s="17">
        <f t="shared" ref="S3:U28" si="10">IF($P$2&gt;0,$P$2+$P$2*R3)</f>
        <v>95334.370374355072</v>
      </c>
      <c r="T3" s="42">
        <f t="shared" ref="T3:V18" si="11">T2</f>
        <v>-0.2</v>
      </c>
      <c r="U3" s="17">
        <f t="shared" si="10"/>
        <v>63556.24691623672</v>
      </c>
      <c r="V3" s="42">
        <f t="shared" si="11"/>
        <v>-0.1</v>
      </c>
      <c r="W3" s="42">
        <f t="shared" ref="W3:W28" si="12">W2</f>
        <v>0.1</v>
      </c>
      <c r="X3" s="29">
        <f t="shared" ref="X3:X28" si="13">IF(P3&gt;S3,O3+O3*V3,IF(P3&lt;U3,O3+O3*W3,O3))</f>
        <v>5.919715477004029E-2</v>
      </c>
      <c r="Y3" s="21">
        <f t="shared" si="1"/>
        <v>2.2768136450015495E-3</v>
      </c>
      <c r="Z3" s="17">
        <f t="shared" si="2"/>
        <v>3081.6123979723238</v>
      </c>
      <c r="AA3" s="17">
        <f>AA2+Z3</f>
        <v>6137.2011920221657</v>
      </c>
      <c r="AB3" s="44">
        <v>0</v>
      </c>
      <c r="AC3" s="17">
        <f t="shared" ref="AC3:AC28" si="14">Z3*AB3</f>
        <v>0</v>
      </c>
      <c r="AD3" s="17">
        <f>AD2+AC3</f>
        <v>0</v>
      </c>
      <c r="AE3" s="44">
        <v>0.3</v>
      </c>
      <c r="AF3" s="17">
        <f t="shared" ref="AF3:AF28" si="15">Z3*AE3</f>
        <v>924.48371939169715</v>
      </c>
      <c r="AG3" s="17">
        <f>AG2+AF3</f>
        <v>1841.1603576066495</v>
      </c>
      <c r="AH3" s="44">
        <v>0.7</v>
      </c>
      <c r="AI3" s="17">
        <f t="shared" ref="AI3:AI28" si="16">Z3*AH3</f>
        <v>2157.1286785806265</v>
      </c>
      <c r="AJ3" s="17">
        <f>AJ2+AI3</f>
        <v>4296.0408344155157</v>
      </c>
      <c r="AK3" s="37">
        <f>AK2</f>
        <v>1153.8461538461538</v>
      </c>
      <c r="AL3" s="17">
        <f>AL2+AK3</f>
        <v>2307.6923076923076</v>
      </c>
      <c r="AM3" s="37">
        <v>1</v>
      </c>
      <c r="AN3" s="23">
        <f t="shared" ref="AN3:AN28" si="17">AN2+AM3</f>
        <v>2</v>
      </c>
      <c r="AO3" s="37">
        <v>1</v>
      </c>
      <c r="AP3" s="23">
        <f t="shared" ref="AP3:AP28" si="18">AP2+AO3</f>
        <v>2</v>
      </c>
      <c r="AQ3" s="37">
        <v>1</v>
      </c>
      <c r="AR3" s="23">
        <f t="shared" ref="AR3:AR28" si="19">AR2+AQ3</f>
        <v>2</v>
      </c>
      <c r="AS3" s="17">
        <f t="shared" ref="AS3:AS28" si="20">Z3+AK3+AM3+AO3+AQ3</f>
        <v>4238.4585518184776</v>
      </c>
      <c r="AT3" s="17">
        <f t="shared" ref="AT3:AT28" si="21">AT2+Z3+AK3+AM3+AO3+AQ3</f>
        <v>8450.8934997144734</v>
      </c>
      <c r="AU3" s="46">
        <f>AU2</f>
        <v>24800</v>
      </c>
      <c r="AV3" s="17">
        <f t="shared" ref="AV3:AV28" si="22">AT3-AU3</f>
        <v>-16349.106500285527</v>
      </c>
      <c r="AW3" s="17">
        <f>AW2+(AS3*AY3)</f>
        <v>0</v>
      </c>
      <c r="AX3" s="44">
        <f>AX2</f>
        <v>0.12</v>
      </c>
      <c r="AY3" s="22">
        <f t="shared" si="3"/>
        <v>0</v>
      </c>
      <c r="AZ3" s="12">
        <f t="shared" ref="AZ3:AZ28" si="23">IF(AV3&lt;$BD$2,0,IF(AV3&lt;$BD$3,$BB$2,IF(AV3&lt;$BD$4,$BB$3,IF(AV3&lt;$BD$5,$BB$4,IF(AV3&lt;$BD$6,$BB$5,IF(AV3&lt;$BD$7,$BB$6,IF(AV3&lt;$BD$8,$BB$7,$BB$8)))))))</f>
        <v>0</v>
      </c>
      <c r="BB3" s="22">
        <v>0.12</v>
      </c>
      <c r="BC3" s="25">
        <v>19750</v>
      </c>
      <c r="BD3" s="25">
        <v>9875</v>
      </c>
    </row>
    <row r="4" spans="1:56" ht="18.75" thickBot="1" x14ac:dyDescent="0.4">
      <c r="A4" s="5">
        <f t="shared" ref="A4:A28" si="24">A3+FLOOR(365/$M$2,1)</f>
        <v>43859</v>
      </c>
      <c r="B4" s="37">
        <f t="shared" ref="B4:B28" si="25">(B3+AC3)*(1+0.1228/M4)</f>
        <v>191858.1134054306</v>
      </c>
      <c r="C4" s="18">
        <f t="shared" ref="C4:C28" si="26">IF(J4&lt;=0,0,B4/J4)</f>
        <v>0.14111760967005296</v>
      </c>
      <c r="D4" s="37">
        <f t="shared" ref="D4:D28" si="27">D3*(1+0.1228/M4)</f>
        <v>174852.59353543009</v>
      </c>
      <c r="E4" s="18">
        <f t="shared" ref="E4:E28" si="28">IF(J4&lt;=0,0,D4/J4)</f>
        <v>0.128609520892072</v>
      </c>
      <c r="F4" s="37">
        <f t="shared" ref="F4:F28" si="29">(F3-(AC3+AF3))*(1+0.1228/M4)</f>
        <v>927923.73380473128</v>
      </c>
      <c r="G4" s="18">
        <f t="shared" ref="G4:G28" si="30">IF(J4&lt;=0,0,F4/J4)</f>
        <v>0.6825167669293245</v>
      </c>
      <c r="H4" s="38">
        <f t="shared" ref="H4:H28" si="31">H3+AF3</f>
        <v>64927.373361194528</v>
      </c>
      <c r="I4" s="18">
        <f t="shared" ref="I4:I28" si="32">IF(J4&lt;=0,0,H4/J4)</f>
        <v>4.775610250855046E-2</v>
      </c>
      <c r="J4" s="17">
        <f>B4+D4+F4+H4</f>
        <v>1359561.8141067866</v>
      </c>
      <c r="K4" s="16">
        <f>IF(J4=0,0,J4-J3)</f>
        <v>6085.9138118256815</v>
      </c>
      <c r="L4" s="18">
        <f t="shared" ref="L4:L28" si="33">IF(J4=0,0,K4/J3)</f>
        <v>4.4965069644013521E-3</v>
      </c>
      <c r="M4" s="19">
        <f t="shared" ref="M4:M28" si="34">M3</f>
        <v>26</v>
      </c>
      <c r="N4" s="50">
        <v>4.0000000000000001E-3</v>
      </c>
      <c r="O4" s="29">
        <f t="shared" si="9"/>
        <v>5.9433943389120454E-2</v>
      </c>
      <c r="P4" s="17">
        <f t="shared" si="0"/>
        <v>80804.119893632669</v>
      </c>
      <c r="Q4" s="20">
        <f>IF(P4=0,0,(P4-P3)/P3)</f>
        <v>8.5144929922590061E-3</v>
      </c>
      <c r="R4" s="42">
        <f t="shared" ref="R4:R28" si="35">R3</f>
        <v>0.2</v>
      </c>
      <c r="S4" s="17">
        <f t="shared" si="10"/>
        <v>95334.370374355072</v>
      </c>
      <c r="T4" s="42">
        <f t="shared" si="11"/>
        <v>-0.2</v>
      </c>
      <c r="U4" s="17">
        <f t="shared" si="10"/>
        <v>63556.24691623672</v>
      </c>
      <c r="V4" s="42">
        <f t="shared" si="11"/>
        <v>-0.1</v>
      </c>
      <c r="W4" s="42">
        <f t="shared" si="12"/>
        <v>0.1</v>
      </c>
      <c r="X4" s="29">
        <f t="shared" si="13"/>
        <v>5.9433943389120454E-2</v>
      </c>
      <c r="Y4" s="21">
        <f t="shared" si="1"/>
        <v>2.2859208995815558E-3</v>
      </c>
      <c r="Z4" s="17">
        <f t="shared" si="2"/>
        <v>3107.8507651397176</v>
      </c>
      <c r="AA4" s="17">
        <f t="shared" ref="AA4:AL19" si="36">AA3+Z4</f>
        <v>9245.0519571618825</v>
      </c>
      <c r="AB4" s="44">
        <v>0</v>
      </c>
      <c r="AC4" s="17">
        <f t="shared" si="14"/>
        <v>0</v>
      </c>
      <c r="AD4" s="17">
        <f t="shared" si="36"/>
        <v>0</v>
      </c>
      <c r="AE4" s="44">
        <v>0.3</v>
      </c>
      <c r="AF4" s="17">
        <f t="shared" si="15"/>
        <v>932.35522954191526</v>
      </c>
      <c r="AG4" s="17">
        <f t="shared" si="36"/>
        <v>2773.5155871485649</v>
      </c>
      <c r="AH4" s="44">
        <v>0.7</v>
      </c>
      <c r="AI4" s="17">
        <f t="shared" si="16"/>
        <v>2175.4955355978022</v>
      </c>
      <c r="AJ4" s="17">
        <f t="shared" ref="AJ4:AJ28" si="37">AJ3+AI4</f>
        <v>6471.5363700133184</v>
      </c>
      <c r="AK4" s="37">
        <f t="shared" ref="AK4:AK28" si="38">AK3</f>
        <v>1153.8461538461538</v>
      </c>
      <c r="AL4" s="17">
        <f t="shared" si="36"/>
        <v>3461.5384615384614</v>
      </c>
      <c r="AM4" s="37"/>
      <c r="AN4" s="23">
        <f t="shared" si="17"/>
        <v>2</v>
      </c>
      <c r="AO4" s="37"/>
      <c r="AP4" s="23">
        <f t="shared" si="18"/>
        <v>2</v>
      </c>
      <c r="AQ4" s="37"/>
      <c r="AR4" s="23">
        <f t="shared" si="19"/>
        <v>2</v>
      </c>
      <c r="AS4" s="17">
        <f t="shared" si="20"/>
        <v>4261.6969189858719</v>
      </c>
      <c r="AT4" s="17">
        <f t="shared" si="21"/>
        <v>12712.590418700345</v>
      </c>
      <c r="AU4" s="46">
        <f t="shared" ref="AU4:AU28" si="39">AU3</f>
        <v>24800</v>
      </c>
      <c r="AV4" s="17">
        <f t="shared" si="22"/>
        <v>-12087.409581299655</v>
      </c>
      <c r="AW4" s="17">
        <f t="shared" ref="AW4:AW28" si="40">AW3+(AS4*AY4)</f>
        <v>0</v>
      </c>
      <c r="AX4" s="44">
        <f t="shared" ref="AX4:AX28" si="41">AX3</f>
        <v>0.12</v>
      </c>
      <c r="AY4" s="22">
        <f t="shared" si="3"/>
        <v>0</v>
      </c>
      <c r="AZ4" s="12">
        <f t="shared" si="23"/>
        <v>0</v>
      </c>
      <c r="BB4" s="22">
        <v>0.22</v>
      </c>
      <c r="BC4" s="25">
        <v>80250</v>
      </c>
      <c r="BD4" s="25">
        <v>40125</v>
      </c>
    </row>
    <row r="5" spans="1:56" ht="18.75" thickBot="1" x14ac:dyDescent="0.4">
      <c r="A5" s="5">
        <f t="shared" si="24"/>
        <v>43873</v>
      </c>
      <c r="B5" s="37">
        <f t="shared" si="25"/>
        <v>192764.27403336085</v>
      </c>
      <c r="C5" s="18">
        <f t="shared" si="26"/>
        <v>0.1411497521765171</v>
      </c>
      <c r="D5" s="37">
        <f t="shared" si="27"/>
        <v>175678.43578489742</v>
      </c>
      <c r="E5" s="18">
        <f t="shared" si="28"/>
        <v>0.12863881441799191</v>
      </c>
      <c r="F5" s="37">
        <f t="shared" si="29"/>
        <v>931369.63016322907</v>
      </c>
      <c r="G5" s="18">
        <f t="shared" si="30"/>
        <v>0.68198629202173899</v>
      </c>
      <c r="H5" s="38">
        <f t="shared" si="31"/>
        <v>65859.728590736442</v>
      </c>
      <c r="I5" s="18">
        <f t="shared" si="32"/>
        <v>4.8225141383751918E-2</v>
      </c>
      <c r="J5" s="17">
        <f t="shared" ref="J5:J28" si="42">B5+D5+F5+H5</f>
        <v>1365672.0685722239</v>
      </c>
      <c r="K5" s="16">
        <f>IF(J5=0,0,J5-J4)</f>
        <v>6110.2544654372614</v>
      </c>
      <c r="L5" s="18">
        <f t="shared" si="33"/>
        <v>4.4942822033079933E-3</v>
      </c>
      <c r="M5" s="19">
        <f t="shared" si="34"/>
        <v>26</v>
      </c>
      <c r="N5" s="50">
        <v>3.0000000000000001E-3</v>
      </c>
      <c r="O5" s="29">
        <f t="shared" si="9"/>
        <v>5.9612245219287811E-2</v>
      </c>
      <c r="P5" s="17">
        <f t="shared" si="0"/>
        <v>81410.77824085945</v>
      </c>
      <c r="Q5" s="20">
        <f t="shared" ref="Q5:Q28" si="43">IF(P5=0,0,(P5-P4)/P4)</f>
        <v>7.5077650499177778E-3</v>
      </c>
      <c r="R5" s="42">
        <f t="shared" si="35"/>
        <v>0.2</v>
      </c>
      <c r="S5" s="17">
        <f t="shared" si="10"/>
        <v>95334.370374355072</v>
      </c>
      <c r="T5" s="42">
        <f t="shared" si="11"/>
        <v>-0.2</v>
      </c>
      <c r="U5" s="17">
        <f t="shared" si="10"/>
        <v>63556.24691623672</v>
      </c>
      <c r="V5" s="42">
        <f t="shared" si="11"/>
        <v>-0.1</v>
      </c>
      <c r="W5" s="42">
        <f t="shared" si="12"/>
        <v>0.1</v>
      </c>
      <c r="X5" s="29">
        <f t="shared" si="13"/>
        <v>5.9612245219287811E-2</v>
      </c>
      <c r="Y5" s="21">
        <f t="shared" si="1"/>
        <v>2.2927786622803006E-3</v>
      </c>
      <c r="Z5" s="17">
        <f t="shared" si="2"/>
        <v>3131.1837784945942</v>
      </c>
      <c r="AA5" s="17">
        <f t="shared" si="36"/>
        <v>12376.235735656477</v>
      </c>
      <c r="AB5" s="44">
        <v>0</v>
      </c>
      <c r="AC5" s="17">
        <f t="shared" si="14"/>
        <v>0</v>
      </c>
      <c r="AD5" s="17">
        <f t="shared" si="36"/>
        <v>0</v>
      </c>
      <c r="AE5" s="44">
        <v>0.3</v>
      </c>
      <c r="AF5" s="17">
        <f t="shared" si="15"/>
        <v>939.35513354837826</v>
      </c>
      <c r="AG5" s="17">
        <f t="shared" si="36"/>
        <v>3712.870720696943</v>
      </c>
      <c r="AH5" s="44">
        <v>0.7</v>
      </c>
      <c r="AI5" s="17">
        <f t="shared" si="16"/>
        <v>2191.8286449462157</v>
      </c>
      <c r="AJ5" s="17">
        <f t="shared" si="37"/>
        <v>8663.3650149595342</v>
      </c>
      <c r="AK5" s="37">
        <f t="shared" si="38"/>
        <v>1153.8461538461538</v>
      </c>
      <c r="AL5" s="17">
        <f t="shared" si="36"/>
        <v>4615.3846153846152</v>
      </c>
      <c r="AM5" s="37"/>
      <c r="AN5" s="23">
        <f t="shared" si="17"/>
        <v>2</v>
      </c>
      <c r="AO5" s="37"/>
      <c r="AP5" s="23">
        <f t="shared" si="18"/>
        <v>2</v>
      </c>
      <c r="AQ5" s="37"/>
      <c r="AR5" s="23">
        <f t="shared" si="19"/>
        <v>2</v>
      </c>
      <c r="AS5" s="17">
        <f t="shared" si="20"/>
        <v>4285.029932340748</v>
      </c>
      <c r="AT5" s="17">
        <f t="shared" si="21"/>
        <v>16997.620351041092</v>
      </c>
      <c r="AU5" s="46">
        <f t="shared" si="39"/>
        <v>24800</v>
      </c>
      <c r="AV5" s="17">
        <f t="shared" si="22"/>
        <v>-7802.3796489589076</v>
      </c>
      <c r="AW5" s="17">
        <f t="shared" si="40"/>
        <v>0</v>
      </c>
      <c r="AX5" s="44">
        <f t="shared" si="41"/>
        <v>0.12</v>
      </c>
      <c r="AY5" s="22">
        <f t="shared" si="3"/>
        <v>0</v>
      </c>
      <c r="AZ5" s="12">
        <f t="shared" si="23"/>
        <v>0</v>
      </c>
      <c r="BB5" s="22">
        <v>0.24</v>
      </c>
      <c r="BC5" s="25">
        <v>171050</v>
      </c>
      <c r="BD5" s="25">
        <v>85525</v>
      </c>
    </row>
    <row r="6" spans="1:56" ht="18.75" thickBot="1" x14ac:dyDescent="0.4">
      <c r="A6" s="5">
        <f t="shared" si="24"/>
        <v>43887</v>
      </c>
      <c r="B6" s="37">
        <f t="shared" si="25"/>
        <v>193674.71452764148</v>
      </c>
      <c r="C6" s="18">
        <f t="shared" si="26"/>
        <v>0.14118221473238571</v>
      </c>
      <c r="D6" s="37">
        <f t="shared" si="27"/>
        <v>176508.17855083529</v>
      </c>
      <c r="E6" s="18">
        <f t="shared" si="28"/>
        <v>0.12866839962544374</v>
      </c>
      <c r="F6" s="37">
        <f t="shared" si="29"/>
        <v>934824.76879020536</v>
      </c>
      <c r="G6" s="18">
        <f t="shared" si="30"/>
        <v>0.68145514795972595</v>
      </c>
      <c r="H6" s="38">
        <f t="shared" si="31"/>
        <v>66799.083724284821</v>
      </c>
      <c r="I6" s="18">
        <f t="shared" si="32"/>
        <v>4.8694237682444658E-2</v>
      </c>
      <c r="J6" s="17">
        <f t="shared" si="42"/>
        <v>1371806.7455929669</v>
      </c>
      <c r="K6" s="16">
        <f t="shared" ref="K6:K28" si="44">IF(J6=0,0,J6-J5)</f>
        <v>6134.6770207430236</v>
      </c>
      <c r="L6" s="18">
        <f t="shared" si="33"/>
        <v>4.4920571796981069E-3</v>
      </c>
      <c r="M6" s="19">
        <f t="shared" si="34"/>
        <v>26</v>
      </c>
      <c r="N6" s="50">
        <v>3.0000000000000001E-3</v>
      </c>
      <c r="O6" s="29">
        <f t="shared" si="9"/>
        <v>5.9791081954945667E-2</v>
      </c>
      <c r="P6" s="17">
        <f t="shared" si="0"/>
        <v>82021.809552096383</v>
      </c>
      <c r="Q6" s="20">
        <f t="shared" si="43"/>
        <v>7.5055333512370377E-3</v>
      </c>
      <c r="R6" s="42">
        <f t="shared" si="35"/>
        <v>0.2</v>
      </c>
      <c r="S6" s="17">
        <f t="shared" si="10"/>
        <v>95334.370374355072</v>
      </c>
      <c r="T6" s="42">
        <f t="shared" si="11"/>
        <v>-0.2</v>
      </c>
      <c r="U6" s="17">
        <f t="shared" si="10"/>
        <v>63556.24691623672</v>
      </c>
      <c r="V6" s="42">
        <f t="shared" si="11"/>
        <v>-0.1</v>
      </c>
      <c r="W6" s="42">
        <f t="shared" si="12"/>
        <v>0.1</v>
      </c>
      <c r="X6" s="29">
        <f t="shared" si="13"/>
        <v>5.9791081954945667E-2</v>
      </c>
      <c r="Y6" s="21">
        <f t="shared" si="1"/>
        <v>2.299656998267141E-3</v>
      </c>
      <c r="Z6" s="17">
        <f t="shared" si="2"/>
        <v>3154.6849827729379</v>
      </c>
      <c r="AA6" s="17">
        <f t="shared" si="36"/>
        <v>15530.920718429416</v>
      </c>
      <c r="AB6" s="44">
        <v>0</v>
      </c>
      <c r="AC6" s="17">
        <f t="shared" si="14"/>
        <v>0</v>
      </c>
      <c r="AD6" s="17">
        <f t="shared" si="36"/>
        <v>0</v>
      </c>
      <c r="AE6" s="44">
        <v>0.3</v>
      </c>
      <c r="AF6" s="17">
        <f t="shared" si="15"/>
        <v>946.40549483188136</v>
      </c>
      <c r="AG6" s="17">
        <f t="shared" si="36"/>
        <v>4659.2762155288247</v>
      </c>
      <c r="AH6" s="44">
        <v>0.7</v>
      </c>
      <c r="AI6" s="17">
        <f t="shared" si="16"/>
        <v>2208.2794879410562</v>
      </c>
      <c r="AJ6" s="17">
        <f t="shared" si="37"/>
        <v>10871.64450290059</v>
      </c>
      <c r="AK6" s="37">
        <f t="shared" si="38"/>
        <v>1153.8461538461538</v>
      </c>
      <c r="AL6" s="17">
        <f t="shared" si="36"/>
        <v>5769.2307692307695</v>
      </c>
      <c r="AM6" s="37"/>
      <c r="AN6" s="23">
        <f t="shared" si="17"/>
        <v>2</v>
      </c>
      <c r="AO6" s="37"/>
      <c r="AP6" s="23">
        <f t="shared" si="18"/>
        <v>2</v>
      </c>
      <c r="AQ6" s="37"/>
      <c r="AR6" s="23">
        <f t="shared" si="19"/>
        <v>2</v>
      </c>
      <c r="AS6" s="17">
        <f t="shared" si="20"/>
        <v>4308.5311366190917</v>
      </c>
      <c r="AT6" s="17">
        <f t="shared" si="21"/>
        <v>21306.151487660183</v>
      </c>
      <c r="AU6" s="46">
        <f t="shared" si="39"/>
        <v>24800</v>
      </c>
      <c r="AV6" s="17">
        <f t="shared" si="22"/>
        <v>-3493.8485123398168</v>
      </c>
      <c r="AW6" s="17">
        <f>AW5+(AS6*AY6)</f>
        <v>0</v>
      </c>
      <c r="AX6" s="44">
        <f t="shared" si="41"/>
        <v>0.12</v>
      </c>
      <c r="AY6" s="22">
        <f t="shared" si="3"/>
        <v>0</v>
      </c>
      <c r="AZ6" s="12">
        <f t="shared" si="23"/>
        <v>0</v>
      </c>
      <c r="BB6" s="22">
        <v>0.32</v>
      </c>
      <c r="BC6" s="25">
        <v>326600</v>
      </c>
      <c r="BD6" s="25">
        <v>163300</v>
      </c>
    </row>
    <row r="7" spans="1:56" ht="18.75" thickBot="1" x14ac:dyDescent="0.4">
      <c r="A7" s="5">
        <f t="shared" si="24"/>
        <v>43901</v>
      </c>
      <c r="B7" s="37">
        <f t="shared" si="25"/>
        <v>194589.45510241049</v>
      </c>
      <c r="C7" s="18">
        <f t="shared" si="26"/>
        <v>0.14121499759801581</v>
      </c>
      <c r="D7" s="37">
        <f t="shared" si="27"/>
        <v>177341.84025568306</v>
      </c>
      <c r="E7" s="18">
        <f t="shared" si="28"/>
        <v>0.1286982767517075</v>
      </c>
      <c r="F7" s="37">
        <f t="shared" si="29"/>
        <v>938289.14264201466</v>
      </c>
      <c r="G7" s="18">
        <f t="shared" si="30"/>
        <v>0.68092332626504726</v>
      </c>
      <c r="H7" s="38">
        <f t="shared" si="31"/>
        <v>67745.489219116702</v>
      </c>
      <c r="I7" s="18">
        <f t="shared" si="32"/>
        <v>4.91633993852294E-2</v>
      </c>
      <c r="J7" s="17">
        <f t="shared" si="42"/>
        <v>1377965.9272192249</v>
      </c>
      <c r="K7" s="16">
        <f t="shared" si="44"/>
        <v>6159.1816262579523</v>
      </c>
      <c r="L7" s="18">
        <f t="shared" si="33"/>
        <v>4.4898318557222367E-3</v>
      </c>
      <c r="M7" s="19">
        <f t="shared" si="34"/>
        <v>26</v>
      </c>
      <c r="N7" s="50">
        <v>-2E-3</v>
      </c>
      <c r="O7" s="29">
        <f t="shared" si="9"/>
        <v>5.9671499791035774E-2</v>
      </c>
      <c r="P7" s="17">
        <f t="shared" si="0"/>
        <v>82225.293538116399</v>
      </c>
      <c r="Q7" s="20">
        <f t="shared" si="43"/>
        <v>2.4808521920108577E-3</v>
      </c>
      <c r="R7" s="42">
        <f t="shared" si="35"/>
        <v>0.2</v>
      </c>
      <c r="S7" s="17">
        <f t="shared" si="10"/>
        <v>95334.370374355072</v>
      </c>
      <c r="T7" s="42">
        <f t="shared" si="11"/>
        <v>-0.2</v>
      </c>
      <c r="U7" s="17">
        <f t="shared" si="10"/>
        <v>63556.24691623672</v>
      </c>
      <c r="V7" s="42">
        <f t="shared" si="11"/>
        <v>-0.1</v>
      </c>
      <c r="W7" s="42">
        <f t="shared" si="12"/>
        <v>0.1</v>
      </c>
      <c r="X7" s="29">
        <f t="shared" si="13"/>
        <v>5.9671499791035774E-2</v>
      </c>
      <c r="Y7" s="21">
        <f t="shared" si="1"/>
        <v>2.2950576842706068E-3</v>
      </c>
      <c r="Z7" s="17">
        <f t="shared" si="2"/>
        <v>3162.5112899275537</v>
      </c>
      <c r="AA7" s="17">
        <f t="shared" si="36"/>
        <v>18693.432008356969</v>
      </c>
      <c r="AB7" s="44">
        <v>0</v>
      </c>
      <c r="AC7" s="17">
        <f t="shared" si="14"/>
        <v>0</v>
      </c>
      <c r="AD7" s="17">
        <f t="shared" si="36"/>
        <v>0</v>
      </c>
      <c r="AE7" s="44">
        <v>0.3</v>
      </c>
      <c r="AF7" s="17">
        <f t="shared" si="15"/>
        <v>948.75338697826601</v>
      </c>
      <c r="AG7" s="17">
        <f t="shared" si="36"/>
        <v>5608.0296025070911</v>
      </c>
      <c r="AH7" s="44">
        <v>0.7</v>
      </c>
      <c r="AI7" s="17">
        <f t="shared" si="16"/>
        <v>2213.7579029492872</v>
      </c>
      <c r="AJ7" s="17">
        <f t="shared" si="37"/>
        <v>13085.402405849876</v>
      </c>
      <c r="AK7" s="37">
        <f t="shared" si="38"/>
        <v>1153.8461538461538</v>
      </c>
      <c r="AL7" s="17">
        <f t="shared" si="36"/>
        <v>6923.0769230769238</v>
      </c>
      <c r="AM7" s="37"/>
      <c r="AN7" s="23">
        <f t="shared" si="17"/>
        <v>2</v>
      </c>
      <c r="AO7" s="37"/>
      <c r="AP7" s="23">
        <f t="shared" si="18"/>
        <v>2</v>
      </c>
      <c r="AQ7" s="37"/>
      <c r="AR7" s="23">
        <f t="shared" si="19"/>
        <v>2</v>
      </c>
      <c r="AS7" s="17">
        <f t="shared" si="20"/>
        <v>4316.3574437737079</v>
      </c>
      <c r="AT7" s="17">
        <f t="shared" si="21"/>
        <v>25622.508931433887</v>
      </c>
      <c r="AU7" s="46">
        <f t="shared" si="39"/>
        <v>24800</v>
      </c>
      <c r="AV7" s="17">
        <f t="shared" si="22"/>
        <v>822.50893143388748</v>
      </c>
      <c r="AW7" s="17">
        <f t="shared" si="40"/>
        <v>431.63574437737083</v>
      </c>
      <c r="AX7" s="44">
        <f t="shared" si="41"/>
        <v>0.12</v>
      </c>
      <c r="AY7" s="22">
        <f t="shared" si="3"/>
        <v>0.1</v>
      </c>
      <c r="AZ7" s="12">
        <f t="shared" si="23"/>
        <v>0.1</v>
      </c>
      <c r="BB7" s="22">
        <v>0.35</v>
      </c>
      <c r="BC7" s="25">
        <v>414700</v>
      </c>
      <c r="BD7" s="25">
        <v>207350</v>
      </c>
    </row>
    <row r="8" spans="1:56" ht="18.75" thickBot="1" x14ac:dyDescent="0.4">
      <c r="A8" s="5">
        <f t="shared" si="24"/>
        <v>43915</v>
      </c>
      <c r="B8" s="37">
        <f t="shared" si="25"/>
        <v>195508.51606727878</v>
      </c>
      <c r="C8" s="18">
        <f t="shared" si="26"/>
        <v>0.141248098750337</v>
      </c>
      <c r="D8" s="37">
        <f t="shared" si="27"/>
        <v>178179.43940889064</v>
      </c>
      <c r="E8" s="18">
        <f t="shared" si="28"/>
        <v>0.12872844395302957</v>
      </c>
      <c r="F8" s="37">
        <f t="shared" si="29"/>
        <v>941767.52001659467</v>
      </c>
      <c r="G8" s="18">
        <f t="shared" si="30"/>
        <v>0.68039425771810291</v>
      </c>
      <c r="H8" s="38">
        <f t="shared" si="31"/>
        <v>68694.242606094966</v>
      </c>
      <c r="I8" s="18">
        <f t="shared" si="32"/>
        <v>4.9629199578530472E-2</v>
      </c>
      <c r="J8" s="17">
        <f t="shared" si="42"/>
        <v>1384149.7180988591</v>
      </c>
      <c r="K8" s="16">
        <f t="shared" si="44"/>
        <v>6183.790879634209</v>
      </c>
      <c r="L8" s="18">
        <f t="shared" si="33"/>
        <v>4.4876224857847381E-3</v>
      </c>
      <c r="M8" s="19">
        <f t="shared" si="34"/>
        <v>26</v>
      </c>
      <c r="N8" s="50">
        <v>-2E-3</v>
      </c>
      <c r="O8" s="29">
        <f t="shared" si="9"/>
        <v>5.9552156791453703E-2</v>
      </c>
      <c r="P8" s="17">
        <f t="shared" si="0"/>
        <v>82429.101035069703</v>
      </c>
      <c r="Q8" s="20">
        <f t="shared" si="43"/>
        <v>2.4786472408131616E-3</v>
      </c>
      <c r="R8" s="42">
        <f t="shared" si="35"/>
        <v>0.2</v>
      </c>
      <c r="S8" s="17">
        <f t="shared" si="10"/>
        <v>95334.370374355072</v>
      </c>
      <c r="T8" s="42">
        <f t="shared" si="11"/>
        <v>-0.2</v>
      </c>
      <c r="U8" s="17">
        <f t="shared" si="10"/>
        <v>63556.24691623672</v>
      </c>
      <c r="V8" s="42">
        <f t="shared" si="11"/>
        <v>-0.1</v>
      </c>
      <c r="W8" s="42">
        <f t="shared" si="12"/>
        <v>0.1</v>
      </c>
      <c r="X8" s="29">
        <f t="shared" si="13"/>
        <v>5.9552156791453703E-2</v>
      </c>
      <c r="Y8" s="21">
        <f t="shared" si="1"/>
        <v>2.2904675689020657E-3</v>
      </c>
      <c r="Z8" s="17">
        <f t="shared" si="2"/>
        <v>3170.3500398103733</v>
      </c>
      <c r="AA8" s="17">
        <f t="shared" si="36"/>
        <v>21863.782048167341</v>
      </c>
      <c r="AB8" s="44">
        <v>0</v>
      </c>
      <c r="AC8" s="17">
        <f t="shared" si="14"/>
        <v>0</v>
      </c>
      <c r="AD8" s="17">
        <f t="shared" si="36"/>
        <v>0</v>
      </c>
      <c r="AE8" s="44">
        <v>0.3</v>
      </c>
      <c r="AF8" s="17">
        <f t="shared" si="15"/>
        <v>951.105011943112</v>
      </c>
      <c r="AG8" s="17">
        <f t="shared" si="36"/>
        <v>6559.1346144502031</v>
      </c>
      <c r="AH8" s="44">
        <v>0.7</v>
      </c>
      <c r="AI8" s="17">
        <f t="shared" si="16"/>
        <v>2219.2450278672613</v>
      </c>
      <c r="AJ8" s="17">
        <f t="shared" si="37"/>
        <v>15304.647433717138</v>
      </c>
      <c r="AK8" s="37">
        <f t="shared" si="38"/>
        <v>1153.8461538461538</v>
      </c>
      <c r="AL8" s="17">
        <f t="shared" si="36"/>
        <v>8076.923076923078</v>
      </c>
      <c r="AM8" s="37"/>
      <c r="AN8" s="23">
        <f t="shared" si="17"/>
        <v>2</v>
      </c>
      <c r="AO8" s="37"/>
      <c r="AP8" s="23">
        <f t="shared" si="18"/>
        <v>2</v>
      </c>
      <c r="AQ8" s="37"/>
      <c r="AR8" s="23">
        <f t="shared" si="19"/>
        <v>2</v>
      </c>
      <c r="AS8" s="17">
        <f t="shared" si="20"/>
        <v>4324.1961936565276</v>
      </c>
      <c r="AT8" s="17">
        <f t="shared" si="21"/>
        <v>29946.705125090415</v>
      </c>
      <c r="AU8" s="46">
        <f t="shared" si="39"/>
        <v>24800</v>
      </c>
      <c r="AV8" s="17">
        <f t="shared" si="22"/>
        <v>5146.7051250904151</v>
      </c>
      <c r="AW8" s="17">
        <f t="shared" si="40"/>
        <v>864.05536374302369</v>
      </c>
      <c r="AX8" s="44">
        <f t="shared" si="41"/>
        <v>0.12</v>
      </c>
      <c r="AY8" s="22">
        <f t="shared" si="3"/>
        <v>0.1</v>
      </c>
      <c r="AZ8" s="12">
        <f t="shared" si="23"/>
        <v>0.1</v>
      </c>
      <c r="BB8" s="22">
        <v>0.37</v>
      </c>
      <c r="BC8" s="25">
        <v>622050</v>
      </c>
      <c r="BD8" s="25">
        <v>518400</v>
      </c>
    </row>
    <row r="9" spans="1:56" ht="18.75" thickBot="1" x14ac:dyDescent="0.4">
      <c r="A9" s="5">
        <f t="shared" si="24"/>
        <v>43929</v>
      </c>
      <c r="B9" s="37">
        <f t="shared" si="25"/>
        <v>196431.91782778114</v>
      </c>
      <c r="C9" s="18">
        <f t="shared" si="26"/>
        <v>0.1412815161790387</v>
      </c>
      <c r="D9" s="37">
        <f t="shared" si="27"/>
        <v>179020.99460732954</v>
      </c>
      <c r="E9" s="18">
        <f t="shared" si="28"/>
        <v>0.12875889939728499</v>
      </c>
      <c r="F9" s="37">
        <f t="shared" si="29"/>
        <v>945259.96330321184</v>
      </c>
      <c r="G9" s="18">
        <f t="shared" si="30"/>
        <v>0.67986792714566036</v>
      </c>
      <c r="H9" s="38">
        <f t="shared" si="31"/>
        <v>69645.347618038082</v>
      </c>
      <c r="I9" s="18">
        <f t="shared" si="32"/>
        <v>5.0091657278016032E-2</v>
      </c>
      <c r="J9" s="17">
        <f t="shared" si="42"/>
        <v>1390358.2233563606</v>
      </c>
      <c r="K9" s="16">
        <f t="shared" si="44"/>
        <v>6208.5052575014997</v>
      </c>
      <c r="L9" s="18">
        <f t="shared" si="33"/>
        <v>4.4854289794813039E-3</v>
      </c>
      <c r="M9" s="19">
        <f t="shared" si="34"/>
        <v>26</v>
      </c>
      <c r="N9" s="50">
        <v>-7.0000000000000001E-3</v>
      </c>
      <c r="O9" s="29">
        <f t="shared" si="9"/>
        <v>5.9135291693913523E-2</v>
      </c>
      <c r="P9" s="17">
        <f t="shared" si="0"/>
        <v>82219.239097209749</v>
      </c>
      <c r="Q9" s="20">
        <f t="shared" si="43"/>
        <v>-2.5459690233752253E-3</v>
      </c>
      <c r="R9" s="42">
        <f t="shared" si="35"/>
        <v>0.2</v>
      </c>
      <c r="S9" s="17">
        <f t="shared" si="10"/>
        <v>95334.370374355072</v>
      </c>
      <c r="T9" s="42">
        <f t="shared" si="11"/>
        <v>-0.2</v>
      </c>
      <c r="U9" s="17">
        <f t="shared" si="10"/>
        <v>63556.24691623672</v>
      </c>
      <c r="V9" s="42">
        <f t="shared" si="11"/>
        <v>-0.1</v>
      </c>
      <c r="W9" s="42">
        <f t="shared" si="12"/>
        <v>0.1</v>
      </c>
      <c r="X9" s="29">
        <f t="shared" si="13"/>
        <v>5.9135291693913523E-2</v>
      </c>
      <c r="Y9" s="21">
        <f t="shared" si="1"/>
        <v>2.274434295919751E-3</v>
      </c>
      <c r="Z9" s="17">
        <f t="shared" si="2"/>
        <v>3162.2784268157598</v>
      </c>
      <c r="AA9" s="17">
        <f t="shared" si="36"/>
        <v>25026.0604749831</v>
      </c>
      <c r="AB9" s="44">
        <v>0</v>
      </c>
      <c r="AC9" s="17">
        <f t="shared" si="14"/>
        <v>0</v>
      </c>
      <c r="AD9" s="17">
        <f t="shared" si="36"/>
        <v>0</v>
      </c>
      <c r="AE9" s="44">
        <v>0.3</v>
      </c>
      <c r="AF9" s="17">
        <f t="shared" si="15"/>
        <v>948.68352804472784</v>
      </c>
      <c r="AG9" s="17">
        <f t="shared" si="36"/>
        <v>7507.8181424949307</v>
      </c>
      <c r="AH9" s="44">
        <v>0.7</v>
      </c>
      <c r="AI9" s="17">
        <f t="shared" si="16"/>
        <v>2213.5948987710317</v>
      </c>
      <c r="AJ9" s="17">
        <f t="shared" si="37"/>
        <v>17518.242332488171</v>
      </c>
      <c r="AK9" s="37">
        <f t="shared" si="38"/>
        <v>1153.8461538461538</v>
      </c>
      <c r="AL9" s="17">
        <f t="shared" si="36"/>
        <v>9230.7692307692323</v>
      </c>
      <c r="AM9" s="37"/>
      <c r="AN9" s="23">
        <f t="shared" si="17"/>
        <v>2</v>
      </c>
      <c r="AO9" s="37"/>
      <c r="AP9" s="23">
        <f t="shared" si="18"/>
        <v>2</v>
      </c>
      <c r="AQ9" s="37"/>
      <c r="AR9" s="23">
        <f t="shared" si="19"/>
        <v>2</v>
      </c>
      <c r="AS9" s="17">
        <f t="shared" si="20"/>
        <v>4316.1245806619136</v>
      </c>
      <c r="AT9" s="17">
        <f t="shared" si="21"/>
        <v>34262.82970575233</v>
      </c>
      <c r="AU9" s="46">
        <f t="shared" si="39"/>
        <v>24800</v>
      </c>
      <c r="AV9" s="17">
        <f t="shared" si="22"/>
        <v>9462.8297057523305</v>
      </c>
      <c r="AW9" s="17">
        <f t="shared" si="40"/>
        <v>1295.6678218092152</v>
      </c>
      <c r="AX9" s="44">
        <f t="shared" si="41"/>
        <v>0.12</v>
      </c>
      <c r="AY9" s="22">
        <f t="shared" si="3"/>
        <v>0.1</v>
      </c>
      <c r="AZ9" s="12">
        <f t="shared" si="23"/>
        <v>0.1</v>
      </c>
    </row>
    <row r="10" spans="1:56" ht="18.75" thickBot="1" x14ac:dyDescent="0.4">
      <c r="A10" s="5">
        <f t="shared" si="24"/>
        <v>43943</v>
      </c>
      <c r="B10" s="37">
        <f t="shared" si="25"/>
        <v>197359.68088582926</v>
      </c>
      <c r="C10" s="18">
        <f t="shared" si="26"/>
        <v>0.14131524560355127</v>
      </c>
      <c r="D10" s="37">
        <f t="shared" si="27"/>
        <v>179866.52453570568</v>
      </c>
      <c r="E10" s="18">
        <f t="shared" si="28"/>
        <v>0.12878963918331648</v>
      </c>
      <c r="F10" s="37">
        <f t="shared" si="29"/>
        <v>948771.33458887436</v>
      </c>
      <c r="G10" s="18">
        <f t="shared" si="30"/>
        <v>0.67934774502699735</v>
      </c>
      <c r="H10" s="38">
        <f t="shared" si="31"/>
        <v>70594.031146082809</v>
      </c>
      <c r="I10" s="18">
        <f t="shared" si="32"/>
        <v>5.0547370186134782E-2</v>
      </c>
      <c r="J10" s="17">
        <f t="shared" si="42"/>
        <v>1396591.5711564922</v>
      </c>
      <c r="K10" s="16">
        <f t="shared" si="44"/>
        <v>6233.3478001316544</v>
      </c>
      <c r="L10" s="18">
        <f t="shared" si="33"/>
        <v>4.4832674741076385E-3</v>
      </c>
      <c r="M10" s="19">
        <f t="shared" si="34"/>
        <v>26</v>
      </c>
      <c r="N10" s="50">
        <v>-7.0000000000000001E-3</v>
      </c>
      <c r="O10" s="29">
        <f t="shared" si="9"/>
        <v>5.8721344652056126E-2</v>
      </c>
      <c r="P10" s="17">
        <f t="shared" si="0"/>
        <v>82009.734988036944</v>
      </c>
      <c r="Q10" s="20">
        <f t="shared" si="43"/>
        <v>-2.5481153982111616E-3</v>
      </c>
      <c r="R10" s="42">
        <f t="shared" si="35"/>
        <v>0.2</v>
      </c>
      <c r="S10" s="17">
        <f t="shared" si="10"/>
        <v>95334.370374355072</v>
      </c>
      <c r="T10" s="42">
        <f t="shared" si="11"/>
        <v>-0.2</v>
      </c>
      <c r="U10" s="17">
        <f t="shared" si="10"/>
        <v>63556.24691623672</v>
      </c>
      <c r="V10" s="42">
        <f t="shared" si="11"/>
        <v>-0.1</v>
      </c>
      <c r="W10" s="42">
        <f t="shared" si="12"/>
        <v>0.1</v>
      </c>
      <c r="X10" s="29">
        <f t="shared" si="13"/>
        <v>5.8721344652056126E-2</v>
      </c>
      <c r="Y10" s="21">
        <f t="shared" si="1"/>
        <v>2.2585132558483123E-3</v>
      </c>
      <c r="Z10" s="17">
        <f t="shared" si="2"/>
        <v>3154.2205764629593</v>
      </c>
      <c r="AA10" s="17">
        <f t="shared" si="36"/>
        <v>28180.281051446058</v>
      </c>
      <c r="AB10" s="44">
        <v>0</v>
      </c>
      <c r="AC10" s="17">
        <f t="shared" si="14"/>
        <v>0</v>
      </c>
      <c r="AD10" s="17">
        <f t="shared" si="36"/>
        <v>0</v>
      </c>
      <c r="AE10" s="44">
        <v>0.3</v>
      </c>
      <c r="AF10" s="17">
        <f t="shared" si="15"/>
        <v>946.26617293888773</v>
      </c>
      <c r="AG10" s="17">
        <f t="shared" si="36"/>
        <v>8454.0843154338181</v>
      </c>
      <c r="AH10" s="44">
        <v>0.7</v>
      </c>
      <c r="AI10" s="17">
        <f t="shared" si="16"/>
        <v>2207.9544035240715</v>
      </c>
      <c r="AJ10" s="17">
        <f t="shared" si="37"/>
        <v>19726.196736012243</v>
      </c>
      <c r="AK10" s="37">
        <f t="shared" si="38"/>
        <v>1153.8461538461538</v>
      </c>
      <c r="AL10" s="17">
        <f t="shared" si="36"/>
        <v>10384.615384615387</v>
      </c>
      <c r="AM10" s="37"/>
      <c r="AN10" s="23">
        <f t="shared" si="17"/>
        <v>2</v>
      </c>
      <c r="AO10" s="37"/>
      <c r="AP10" s="23">
        <f t="shared" si="18"/>
        <v>2</v>
      </c>
      <c r="AQ10" s="37"/>
      <c r="AR10" s="23">
        <f t="shared" si="19"/>
        <v>2</v>
      </c>
      <c r="AS10" s="17">
        <f t="shared" si="20"/>
        <v>4308.0667303091132</v>
      </c>
      <c r="AT10" s="17">
        <f t="shared" si="21"/>
        <v>38570.896436061448</v>
      </c>
      <c r="AU10" s="46">
        <f t="shared" si="39"/>
        <v>24800</v>
      </c>
      <c r="AV10" s="17">
        <f t="shared" si="22"/>
        <v>13770.896436061448</v>
      </c>
      <c r="AW10" s="17">
        <f t="shared" si="40"/>
        <v>1726.4744948401265</v>
      </c>
      <c r="AX10" s="44">
        <f t="shared" si="41"/>
        <v>0.12</v>
      </c>
      <c r="AY10" s="22">
        <f t="shared" si="3"/>
        <v>0.1</v>
      </c>
      <c r="AZ10" s="12">
        <f t="shared" si="23"/>
        <v>0.12</v>
      </c>
    </row>
    <row r="11" spans="1:56" ht="18.75" thickBot="1" x14ac:dyDescent="0.4">
      <c r="A11" s="5">
        <f t="shared" si="24"/>
        <v>43957</v>
      </c>
      <c r="B11" s="37">
        <f t="shared" si="25"/>
        <v>198291.82584016694</v>
      </c>
      <c r="C11" s="18">
        <f t="shared" si="26"/>
        <v>0.14134928278381315</v>
      </c>
      <c r="D11" s="37">
        <f t="shared" si="27"/>
        <v>180716.04796697432</v>
      </c>
      <c r="E11" s="18">
        <f t="shared" si="28"/>
        <v>0.12882065944688406</v>
      </c>
      <c r="F11" s="37">
        <f t="shared" si="29"/>
        <v>952301.71912368457</v>
      </c>
      <c r="G11" s="18">
        <f t="shared" si="30"/>
        <v>0.6788336555054223</v>
      </c>
      <c r="H11" s="38">
        <f t="shared" si="31"/>
        <v>71540.297319021702</v>
      </c>
      <c r="I11" s="18">
        <f t="shared" si="32"/>
        <v>5.09964022638804E-2</v>
      </c>
      <c r="J11" s="17">
        <f t="shared" si="42"/>
        <v>1402849.8902498477</v>
      </c>
      <c r="K11" s="16">
        <f t="shared" si="44"/>
        <v>6258.3190933554433</v>
      </c>
      <c r="L11" s="18">
        <f t="shared" si="33"/>
        <v>4.4811376658768194E-3</v>
      </c>
      <c r="M11" s="19">
        <f t="shared" si="34"/>
        <v>26</v>
      </c>
      <c r="N11" s="50">
        <v>0</v>
      </c>
      <c r="O11" s="29">
        <f t="shared" si="9"/>
        <v>5.8721344652056126E-2</v>
      </c>
      <c r="P11" s="17">
        <f t="shared" si="0"/>
        <v>82377.231900460421</v>
      </c>
      <c r="Q11" s="20">
        <f t="shared" si="43"/>
        <v>4.4811376658769322E-3</v>
      </c>
      <c r="R11" s="42">
        <f t="shared" si="35"/>
        <v>0.2</v>
      </c>
      <c r="S11" s="17">
        <f t="shared" si="10"/>
        <v>95334.370374355072</v>
      </c>
      <c r="T11" s="42">
        <f t="shared" si="11"/>
        <v>-0.2</v>
      </c>
      <c r="U11" s="17">
        <f t="shared" si="10"/>
        <v>63556.24691623672</v>
      </c>
      <c r="V11" s="42">
        <f t="shared" si="11"/>
        <v>-0.1</v>
      </c>
      <c r="W11" s="42">
        <f t="shared" si="12"/>
        <v>0.1</v>
      </c>
      <c r="X11" s="29">
        <f t="shared" si="13"/>
        <v>5.8721344652056126E-2</v>
      </c>
      <c r="Y11" s="21">
        <f t="shared" si="1"/>
        <v>2.2585132558483123E-3</v>
      </c>
      <c r="Z11" s="17">
        <f t="shared" si="2"/>
        <v>3168.3550730946313</v>
      </c>
      <c r="AA11" s="17">
        <f t="shared" si="36"/>
        <v>31348.636124540688</v>
      </c>
      <c r="AB11" s="44">
        <v>0</v>
      </c>
      <c r="AC11" s="17">
        <f t="shared" si="14"/>
        <v>0</v>
      </c>
      <c r="AD11" s="17">
        <f t="shared" si="36"/>
        <v>0</v>
      </c>
      <c r="AE11" s="44">
        <v>0.3</v>
      </c>
      <c r="AF11" s="17">
        <f t="shared" si="15"/>
        <v>950.50652192838936</v>
      </c>
      <c r="AG11" s="17">
        <f t="shared" si="36"/>
        <v>9404.5908373622078</v>
      </c>
      <c r="AH11" s="44">
        <v>0.7</v>
      </c>
      <c r="AI11" s="17">
        <f t="shared" si="16"/>
        <v>2217.8485511662416</v>
      </c>
      <c r="AJ11" s="17">
        <f t="shared" si="37"/>
        <v>21944.045287178484</v>
      </c>
      <c r="AK11" s="37">
        <f t="shared" si="38"/>
        <v>1153.8461538461538</v>
      </c>
      <c r="AL11" s="17">
        <f t="shared" si="36"/>
        <v>11538.461538461541</v>
      </c>
      <c r="AM11" s="37"/>
      <c r="AN11" s="23">
        <f t="shared" si="17"/>
        <v>2</v>
      </c>
      <c r="AO11" s="37"/>
      <c r="AP11" s="23">
        <f t="shared" si="18"/>
        <v>2</v>
      </c>
      <c r="AQ11" s="37"/>
      <c r="AR11" s="23">
        <f t="shared" si="19"/>
        <v>2</v>
      </c>
      <c r="AS11" s="17">
        <f t="shared" si="20"/>
        <v>4322.2012269407851</v>
      </c>
      <c r="AT11" s="17">
        <f t="shared" si="21"/>
        <v>42893.097663002234</v>
      </c>
      <c r="AU11" s="46">
        <f t="shared" si="39"/>
        <v>24800</v>
      </c>
      <c r="AV11" s="17">
        <f t="shared" si="22"/>
        <v>18093.097663002234</v>
      </c>
      <c r="AW11" s="17">
        <f t="shared" si="40"/>
        <v>2158.694617534205</v>
      </c>
      <c r="AX11" s="44">
        <f t="shared" si="41"/>
        <v>0.12</v>
      </c>
      <c r="AY11" s="22">
        <f t="shared" si="3"/>
        <v>0.1</v>
      </c>
      <c r="AZ11" s="12">
        <f t="shared" si="23"/>
        <v>0.12</v>
      </c>
    </row>
    <row r="12" spans="1:56" ht="18.75" thickBot="1" x14ac:dyDescent="0.4">
      <c r="A12" s="5">
        <f t="shared" si="24"/>
        <v>43971</v>
      </c>
      <c r="B12" s="37">
        <f t="shared" si="25"/>
        <v>199228.37338682741</v>
      </c>
      <c r="C12" s="18">
        <f t="shared" si="26"/>
        <v>0.1413836266728406</v>
      </c>
      <c r="D12" s="37">
        <f t="shared" si="27"/>
        <v>181569.58376275678</v>
      </c>
      <c r="E12" s="18">
        <f t="shared" si="28"/>
        <v>0.12885195923380449</v>
      </c>
      <c r="F12" s="37">
        <f t="shared" si="29"/>
        <v>955844.51755973673</v>
      </c>
      <c r="G12" s="18">
        <f t="shared" si="30"/>
        <v>0.67832087433427035</v>
      </c>
      <c r="H12" s="38">
        <f t="shared" si="31"/>
        <v>72490.803840950088</v>
      </c>
      <c r="I12" s="18">
        <f t="shared" si="32"/>
        <v>5.144353975908459E-2</v>
      </c>
      <c r="J12" s="17">
        <f t="shared" si="42"/>
        <v>1409133.2785502709</v>
      </c>
      <c r="K12" s="16">
        <f t="shared" si="44"/>
        <v>6283.3883004232775</v>
      </c>
      <c r="L12" s="18">
        <f t="shared" si="33"/>
        <v>4.479016852832491E-3</v>
      </c>
      <c r="M12" s="19">
        <f t="shared" si="34"/>
        <v>26</v>
      </c>
      <c r="N12" s="50">
        <v>0</v>
      </c>
      <c r="O12" s="29">
        <f t="shared" si="9"/>
        <v>5.8721344652056126E-2</v>
      </c>
      <c r="P12" s="17">
        <f t="shared" si="0"/>
        <v>82746.200910432264</v>
      </c>
      <c r="Q12" s="20">
        <f t="shared" si="43"/>
        <v>4.4790168528323722E-3</v>
      </c>
      <c r="R12" s="42">
        <f t="shared" si="35"/>
        <v>0.2</v>
      </c>
      <c r="S12" s="17">
        <f t="shared" si="10"/>
        <v>95334.370374355072</v>
      </c>
      <c r="T12" s="42">
        <f t="shared" si="11"/>
        <v>-0.2</v>
      </c>
      <c r="U12" s="17">
        <f t="shared" si="10"/>
        <v>63556.24691623672</v>
      </c>
      <c r="V12" s="42">
        <f t="shared" si="11"/>
        <v>-0.1</v>
      </c>
      <c r="W12" s="42">
        <f t="shared" si="12"/>
        <v>0.1</v>
      </c>
      <c r="X12" s="29">
        <f t="shared" si="13"/>
        <v>5.8721344652056126E-2</v>
      </c>
      <c r="Y12" s="21">
        <f t="shared" si="1"/>
        <v>2.2585132558483123E-3</v>
      </c>
      <c r="Z12" s="17">
        <f t="shared" si="2"/>
        <v>3182.5461888627792</v>
      </c>
      <c r="AA12" s="17">
        <f t="shared" si="36"/>
        <v>34531.182313403464</v>
      </c>
      <c r="AB12" s="44">
        <v>0</v>
      </c>
      <c r="AC12" s="17">
        <f t="shared" si="14"/>
        <v>0</v>
      </c>
      <c r="AD12" s="17">
        <f t="shared" si="36"/>
        <v>0</v>
      </c>
      <c r="AE12" s="44">
        <v>0.3</v>
      </c>
      <c r="AF12" s="17">
        <f t="shared" si="15"/>
        <v>954.76385665883367</v>
      </c>
      <c r="AG12" s="17">
        <f t="shared" si="36"/>
        <v>10359.354694021042</v>
      </c>
      <c r="AH12" s="44">
        <v>0.7</v>
      </c>
      <c r="AI12" s="17">
        <f t="shared" si="16"/>
        <v>2227.7823322039453</v>
      </c>
      <c r="AJ12" s="17">
        <f t="shared" si="37"/>
        <v>24171.827619382428</v>
      </c>
      <c r="AK12" s="37">
        <f t="shared" si="38"/>
        <v>1153.8461538461538</v>
      </c>
      <c r="AL12" s="17">
        <f t="shared" si="36"/>
        <v>12692.307692307695</v>
      </c>
      <c r="AM12" s="37"/>
      <c r="AN12" s="23">
        <f t="shared" si="17"/>
        <v>2</v>
      </c>
      <c r="AO12" s="37"/>
      <c r="AP12" s="23">
        <f t="shared" si="18"/>
        <v>2</v>
      </c>
      <c r="AQ12" s="37"/>
      <c r="AR12" s="23">
        <f t="shared" si="19"/>
        <v>2</v>
      </c>
      <c r="AS12" s="17">
        <f t="shared" si="20"/>
        <v>4336.392342708933</v>
      </c>
      <c r="AT12" s="17">
        <f t="shared" si="21"/>
        <v>47229.490005711166</v>
      </c>
      <c r="AU12" s="46">
        <f t="shared" si="39"/>
        <v>24800</v>
      </c>
      <c r="AV12" s="17">
        <f t="shared" si="22"/>
        <v>22429.490005711166</v>
      </c>
      <c r="AW12" s="17">
        <f t="shared" si="40"/>
        <v>2679.0616986592768</v>
      </c>
      <c r="AX12" s="44">
        <f t="shared" si="41"/>
        <v>0.12</v>
      </c>
      <c r="AY12" s="22">
        <f t="shared" si="3"/>
        <v>0.12</v>
      </c>
      <c r="AZ12" s="12">
        <f t="shared" si="23"/>
        <v>0.12</v>
      </c>
    </row>
    <row r="13" spans="1:56" ht="18.75" thickBot="1" x14ac:dyDescent="0.4">
      <c r="A13" s="5">
        <f t="shared" si="24"/>
        <v>43985</v>
      </c>
      <c r="B13" s="37">
        <f t="shared" si="25"/>
        <v>200169.34431959287</v>
      </c>
      <c r="C13" s="18">
        <f t="shared" si="26"/>
        <v>0.14141827623102027</v>
      </c>
      <c r="D13" s="37">
        <f t="shared" si="27"/>
        <v>182427.15087375932</v>
      </c>
      <c r="E13" s="18">
        <f t="shared" si="28"/>
        <v>0.12888353759661142</v>
      </c>
      <c r="F13" s="37">
        <f t="shared" si="29"/>
        <v>959399.77146287542</v>
      </c>
      <c r="G13" s="18">
        <f t="shared" si="30"/>
        <v>0.67780939363068293</v>
      </c>
      <c r="H13" s="38">
        <f t="shared" si="31"/>
        <v>73445.567697608916</v>
      </c>
      <c r="I13" s="18">
        <f t="shared" si="32"/>
        <v>5.1888792541685443E-2</v>
      </c>
      <c r="J13" s="17">
        <f t="shared" si="42"/>
        <v>1415441.8343538365</v>
      </c>
      <c r="K13" s="16">
        <f t="shared" si="44"/>
        <v>6308.5558035655413</v>
      </c>
      <c r="L13" s="18">
        <f t="shared" si="33"/>
        <v>4.4769049880475755E-3</v>
      </c>
      <c r="M13" s="19">
        <f t="shared" si="34"/>
        <v>26</v>
      </c>
      <c r="N13" s="50">
        <v>5.0000000000000001E-3</v>
      </c>
      <c r="O13" s="29">
        <f t="shared" si="9"/>
        <v>5.9014951375316399E-2</v>
      </c>
      <c r="P13" s="17">
        <f t="shared" si="0"/>
        <v>83532.231028980314</v>
      </c>
      <c r="Q13" s="20">
        <f t="shared" si="43"/>
        <v>9.4992895129877835E-3</v>
      </c>
      <c r="R13" s="42">
        <f t="shared" si="35"/>
        <v>0.2</v>
      </c>
      <c r="S13" s="17">
        <f t="shared" si="10"/>
        <v>95334.370374355072</v>
      </c>
      <c r="T13" s="42">
        <f t="shared" si="11"/>
        <v>-0.2</v>
      </c>
      <c r="U13" s="17">
        <f t="shared" si="10"/>
        <v>63556.24691623672</v>
      </c>
      <c r="V13" s="42">
        <f t="shared" si="11"/>
        <v>-0.1</v>
      </c>
      <c r="W13" s="42">
        <f t="shared" si="12"/>
        <v>0.1</v>
      </c>
      <c r="X13" s="29">
        <f t="shared" si="13"/>
        <v>5.9014951375316399E-2</v>
      </c>
      <c r="Y13" s="21">
        <f t="shared" si="1"/>
        <v>2.2698058221275537E-3</v>
      </c>
      <c r="Z13" s="17">
        <f t="shared" si="2"/>
        <v>3212.7781164992425</v>
      </c>
      <c r="AA13" s="17">
        <f t="shared" si="36"/>
        <v>37743.960429902705</v>
      </c>
      <c r="AB13" s="44">
        <v>0</v>
      </c>
      <c r="AC13" s="17">
        <f t="shared" si="14"/>
        <v>0</v>
      </c>
      <c r="AD13" s="17">
        <f t="shared" si="36"/>
        <v>0</v>
      </c>
      <c r="AE13" s="44">
        <v>0.3</v>
      </c>
      <c r="AF13" s="17">
        <f t="shared" si="15"/>
        <v>963.83343494977271</v>
      </c>
      <c r="AG13" s="17">
        <f t="shared" si="36"/>
        <v>11323.188128970814</v>
      </c>
      <c r="AH13" s="44">
        <v>0.7</v>
      </c>
      <c r="AI13" s="17">
        <f t="shared" si="16"/>
        <v>2248.9446815494698</v>
      </c>
      <c r="AJ13" s="17">
        <f t="shared" si="37"/>
        <v>26420.772300931898</v>
      </c>
      <c r="AK13" s="37">
        <f t="shared" si="38"/>
        <v>1153.8461538461538</v>
      </c>
      <c r="AL13" s="17">
        <f t="shared" si="36"/>
        <v>13846.153846153849</v>
      </c>
      <c r="AM13" s="37"/>
      <c r="AN13" s="23">
        <f t="shared" si="17"/>
        <v>2</v>
      </c>
      <c r="AO13" s="37"/>
      <c r="AP13" s="23">
        <f t="shared" si="18"/>
        <v>2</v>
      </c>
      <c r="AQ13" s="37"/>
      <c r="AR13" s="23">
        <f t="shared" si="19"/>
        <v>2</v>
      </c>
      <c r="AS13" s="17">
        <f t="shared" si="20"/>
        <v>4366.6242703453963</v>
      </c>
      <c r="AT13" s="17">
        <f t="shared" si="21"/>
        <v>51596.114276056564</v>
      </c>
      <c r="AU13" s="46">
        <f t="shared" si="39"/>
        <v>24800</v>
      </c>
      <c r="AV13" s="17">
        <f t="shared" si="22"/>
        <v>26796.114276056564</v>
      </c>
      <c r="AW13" s="17">
        <f t="shared" si="40"/>
        <v>3203.0566111007242</v>
      </c>
      <c r="AX13" s="44">
        <f t="shared" si="41"/>
        <v>0.12</v>
      </c>
      <c r="AY13" s="22">
        <f t="shared" si="3"/>
        <v>0.12</v>
      </c>
      <c r="AZ13" s="12">
        <f t="shared" si="23"/>
        <v>0.12</v>
      </c>
    </row>
    <row r="14" spans="1:56" ht="18.75" thickBot="1" x14ac:dyDescent="0.4">
      <c r="A14" s="5">
        <f t="shared" si="24"/>
        <v>43999</v>
      </c>
      <c r="B14" s="37">
        <f t="shared" si="25"/>
        <v>201114.75953045615</v>
      </c>
      <c r="C14" s="18">
        <f t="shared" si="26"/>
        <v>0.14145323267931592</v>
      </c>
      <c r="D14" s="37">
        <f t="shared" si="27"/>
        <v>183288.76834019384</v>
      </c>
      <c r="E14" s="18">
        <f t="shared" si="28"/>
        <v>0.12891539564804744</v>
      </c>
      <c r="F14" s="37">
        <f t="shared" si="29"/>
        <v>962962.70468907291</v>
      </c>
      <c r="G14" s="18">
        <f t="shared" si="30"/>
        <v>0.67729582774485031</v>
      </c>
      <c r="H14" s="38">
        <f t="shared" si="31"/>
        <v>74409.401132558691</v>
      </c>
      <c r="I14" s="18">
        <f t="shared" si="32"/>
        <v>5.233554392778636E-2</v>
      </c>
      <c r="J14" s="17">
        <f t="shared" si="42"/>
        <v>1421775.6336922816</v>
      </c>
      <c r="K14" s="16">
        <f t="shared" si="44"/>
        <v>6333.7993384450674</v>
      </c>
      <c r="L14" s="18">
        <f t="shared" si="33"/>
        <v>4.474786024207424E-3</v>
      </c>
      <c r="M14" s="19">
        <f t="shared" si="34"/>
        <v>26</v>
      </c>
      <c r="N14" s="50">
        <v>5.0000000000000001E-3</v>
      </c>
      <c r="O14" s="29">
        <f t="shared" si="9"/>
        <v>5.9310026132192974E-2</v>
      </c>
      <c r="P14" s="17">
        <f t="shared" si="0"/>
        <v>84325.54998840444</v>
      </c>
      <c r="Q14" s="20">
        <f t="shared" si="43"/>
        <v>9.4971599543282395E-3</v>
      </c>
      <c r="R14" s="42">
        <f t="shared" si="35"/>
        <v>0.2</v>
      </c>
      <c r="S14" s="17">
        <f t="shared" si="10"/>
        <v>95334.370374355072</v>
      </c>
      <c r="T14" s="42">
        <f t="shared" si="11"/>
        <v>-0.2</v>
      </c>
      <c r="U14" s="17">
        <f t="shared" si="10"/>
        <v>63556.24691623672</v>
      </c>
      <c r="V14" s="42">
        <f t="shared" si="11"/>
        <v>-0.1</v>
      </c>
      <c r="W14" s="42">
        <f t="shared" si="12"/>
        <v>0.1</v>
      </c>
      <c r="X14" s="29">
        <f t="shared" si="13"/>
        <v>5.9310026132192974E-2</v>
      </c>
      <c r="Y14" s="21">
        <f t="shared" si="1"/>
        <v>2.2811548512381911E-3</v>
      </c>
      <c r="Z14" s="17">
        <f t="shared" si="2"/>
        <v>3243.2903841694015</v>
      </c>
      <c r="AA14" s="17">
        <f t="shared" si="36"/>
        <v>40987.250814072104</v>
      </c>
      <c r="AB14" s="44">
        <v>0</v>
      </c>
      <c r="AC14" s="17">
        <f t="shared" si="14"/>
        <v>0</v>
      </c>
      <c r="AD14" s="17">
        <f t="shared" si="36"/>
        <v>0</v>
      </c>
      <c r="AE14" s="44">
        <v>0.3</v>
      </c>
      <c r="AF14" s="17">
        <f t="shared" si="15"/>
        <v>972.98711525082035</v>
      </c>
      <c r="AG14" s="17">
        <f t="shared" si="36"/>
        <v>12296.175244221635</v>
      </c>
      <c r="AH14" s="44">
        <v>0.7</v>
      </c>
      <c r="AI14" s="17">
        <f t="shared" si="16"/>
        <v>2270.3032689185807</v>
      </c>
      <c r="AJ14" s="17">
        <f t="shared" si="37"/>
        <v>28691.07556985048</v>
      </c>
      <c r="AK14" s="37">
        <f t="shared" si="38"/>
        <v>1153.8461538461538</v>
      </c>
      <c r="AL14" s="17">
        <f t="shared" si="36"/>
        <v>15000.000000000004</v>
      </c>
      <c r="AM14" s="37"/>
      <c r="AN14" s="23">
        <f t="shared" si="17"/>
        <v>2</v>
      </c>
      <c r="AO14" s="37"/>
      <c r="AP14" s="23">
        <f t="shared" si="18"/>
        <v>2</v>
      </c>
      <c r="AQ14" s="37"/>
      <c r="AR14" s="23">
        <f t="shared" si="19"/>
        <v>2</v>
      </c>
      <c r="AS14" s="17">
        <f t="shared" si="20"/>
        <v>4397.1365380155548</v>
      </c>
      <c r="AT14" s="17">
        <f t="shared" si="21"/>
        <v>55993.250814072118</v>
      </c>
      <c r="AU14" s="46">
        <f t="shared" si="39"/>
        <v>24800</v>
      </c>
      <c r="AV14" s="17">
        <f t="shared" si="22"/>
        <v>31193.250814072118</v>
      </c>
      <c r="AW14" s="17">
        <f t="shared" si="40"/>
        <v>3730.7129956625909</v>
      </c>
      <c r="AX14" s="44">
        <f t="shared" si="41"/>
        <v>0.12</v>
      </c>
      <c r="AY14" s="22">
        <f t="shared" si="3"/>
        <v>0.12</v>
      </c>
      <c r="AZ14" s="12">
        <f t="shared" si="23"/>
        <v>0.12</v>
      </c>
    </row>
    <row r="15" spans="1:56" ht="18.75" thickBot="1" x14ac:dyDescent="0.4">
      <c r="A15" s="5">
        <f t="shared" si="24"/>
        <v>44013</v>
      </c>
      <c r="B15" s="37">
        <f t="shared" si="25"/>
        <v>202064.64001008461</v>
      </c>
      <c r="C15" s="18">
        <f t="shared" si="26"/>
        <v>0.14148849724998527</v>
      </c>
      <c r="D15" s="37">
        <f t="shared" si="27"/>
        <v>184154.45529220058</v>
      </c>
      <c r="E15" s="18">
        <f t="shared" si="28"/>
        <v>0.12894753451114788</v>
      </c>
      <c r="F15" s="37">
        <f t="shared" si="29"/>
        <v>966533.26900913229</v>
      </c>
      <c r="G15" s="18">
        <f t="shared" si="30"/>
        <v>0.67678016186994827</v>
      </c>
      <c r="H15" s="38">
        <f t="shared" si="31"/>
        <v>75382.388247809518</v>
      </c>
      <c r="I15" s="18">
        <f t="shared" si="32"/>
        <v>5.2783806368918454E-2</v>
      </c>
      <c r="J15" s="17">
        <f t="shared" si="42"/>
        <v>1428134.7525592272</v>
      </c>
      <c r="K15" s="16">
        <f t="shared" si="44"/>
        <v>6359.1188669456169</v>
      </c>
      <c r="L15" s="18">
        <f t="shared" si="33"/>
        <v>4.4726599023442943E-3</v>
      </c>
      <c r="M15" s="19">
        <f t="shared" si="34"/>
        <v>26</v>
      </c>
      <c r="N15" s="50">
        <v>5.0000000000000001E-3</v>
      </c>
      <c r="O15" s="29">
        <f t="shared" si="9"/>
        <v>5.9606576262853934E-2</v>
      </c>
      <c r="P15" s="17">
        <f t="shared" si="0"/>
        <v>85126.223042053607</v>
      </c>
      <c r="Q15" s="20">
        <f t="shared" si="43"/>
        <v>9.4950232018559851E-3</v>
      </c>
      <c r="R15" s="42">
        <f t="shared" si="35"/>
        <v>0.2</v>
      </c>
      <c r="S15" s="17">
        <f t="shared" si="10"/>
        <v>95334.370374355072</v>
      </c>
      <c r="T15" s="42">
        <f t="shared" si="11"/>
        <v>-0.2</v>
      </c>
      <c r="U15" s="17">
        <f t="shared" si="10"/>
        <v>63556.24691623672</v>
      </c>
      <c r="V15" s="42">
        <f t="shared" si="11"/>
        <v>-0.1</v>
      </c>
      <c r="W15" s="42">
        <f t="shared" si="12"/>
        <v>0.1</v>
      </c>
      <c r="X15" s="29">
        <f t="shared" si="13"/>
        <v>5.9606576262853934E-2</v>
      </c>
      <c r="Y15" s="21">
        <f t="shared" si="1"/>
        <v>2.2925606254943819E-3</v>
      </c>
      <c r="Z15" s="17">
        <f t="shared" si="2"/>
        <v>3274.085501617446</v>
      </c>
      <c r="AA15" s="17">
        <f t="shared" si="36"/>
        <v>44261.33631568955</v>
      </c>
      <c r="AB15" s="44">
        <v>0</v>
      </c>
      <c r="AC15" s="17">
        <f t="shared" si="14"/>
        <v>0</v>
      </c>
      <c r="AD15" s="17">
        <f t="shared" si="36"/>
        <v>0</v>
      </c>
      <c r="AE15" s="44">
        <v>0.3</v>
      </c>
      <c r="AF15" s="17">
        <f t="shared" si="15"/>
        <v>982.2256504852337</v>
      </c>
      <c r="AG15" s="17">
        <f t="shared" si="36"/>
        <v>13278.400894706869</v>
      </c>
      <c r="AH15" s="44">
        <v>0.7</v>
      </c>
      <c r="AI15" s="17">
        <f t="shared" si="16"/>
        <v>2291.859851132212</v>
      </c>
      <c r="AJ15" s="17">
        <f t="shared" si="37"/>
        <v>30982.935420982692</v>
      </c>
      <c r="AK15" s="37">
        <f t="shared" si="38"/>
        <v>1153.8461538461538</v>
      </c>
      <c r="AL15" s="17">
        <f t="shared" si="36"/>
        <v>16153.846153846158</v>
      </c>
      <c r="AM15" s="37"/>
      <c r="AN15" s="23">
        <f t="shared" si="17"/>
        <v>2</v>
      </c>
      <c r="AO15" s="37"/>
      <c r="AP15" s="23">
        <f t="shared" si="18"/>
        <v>2</v>
      </c>
      <c r="AQ15" s="37"/>
      <c r="AR15" s="23">
        <f t="shared" si="19"/>
        <v>2</v>
      </c>
      <c r="AS15" s="17">
        <f t="shared" si="20"/>
        <v>4427.9316554635998</v>
      </c>
      <c r="AT15" s="17">
        <f t="shared" si="21"/>
        <v>60421.182469535721</v>
      </c>
      <c r="AU15" s="46">
        <f t="shared" si="39"/>
        <v>24800</v>
      </c>
      <c r="AV15" s="17">
        <f t="shared" si="22"/>
        <v>35621.182469535721</v>
      </c>
      <c r="AW15" s="17">
        <f t="shared" si="40"/>
        <v>4262.064794318223</v>
      </c>
      <c r="AX15" s="44">
        <f t="shared" si="41"/>
        <v>0.12</v>
      </c>
      <c r="AY15" s="22">
        <f t="shared" si="3"/>
        <v>0.12</v>
      </c>
      <c r="AZ15" s="12">
        <f t="shared" si="23"/>
        <v>0.12</v>
      </c>
    </row>
    <row r="16" spans="1:56" ht="18.75" thickBot="1" x14ac:dyDescent="0.4">
      <c r="A16" s="5">
        <f t="shared" si="24"/>
        <v>44027</v>
      </c>
      <c r="B16" s="37">
        <f t="shared" si="25"/>
        <v>203019.00684828605</v>
      </c>
      <c r="C16" s="18">
        <f t="shared" si="26"/>
        <v>0.14152407118664859</v>
      </c>
      <c r="D16" s="37">
        <f t="shared" si="27"/>
        <v>185024.23095027296</v>
      </c>
      <c r="E16" s="18">
        <f t="shared" si="28"/>
        <v>0.12897995531930365</v>
      </c>
      <c r="F16" s="37">
        <f t="shared" si="29"/>
        <v>970111.41520958696</v>
      </c>
      <c r="G16" s="18">
        <f t="shared" si="30"/>
        <v>0.6762623811262185</v>
      </c>
      <c r="H16" s="38">
        <f t="shared" si="31"/>
        <v>76364.613898294745</v>
      </c>
      <c r="I16" s="18">
        <f t="shared" si="32"/>
        <v>5.323359236782927E-2</v>
      </c>
      <c r="J16" s="17">
        <f t="shared" si="42"/>
        <v>1434519.2669064407</v>
      </c>
      <c r="K16" s="16">
        <f t="shared" si="44"/>
        <v>6384.5143472135533</v>
      </c>
      <c r="L16" s="18">
        <f t="shared" si="33"/>
        <v>4.4705265632479429E-3</v>
      </c>
      <c r="M16" s="19">
        <f t="shared" si="34"/>
        <v>26</v>
      </c>
      <c r="N16" s="50">
        <v>5.0000000000000001E-3</v>
      </c>
      <c r="O16" s="29">
        <f t="shared" si="9"/>
        <v>5.9904609144168196E-2</v>
      </c>
      <c r="P16" s="17">
        <f t="shared" si="0"/>
        <v>85934.315993809025</v>
      </c>
      <c r="Q16" s="20">
        <f t="shared" si="43"/>
        <v>9.4928791960640375E-3</v>
      </c>
      <c r="R16" s="42">
        <f t="shared" si="35"/>
        <v>0.2</v>
      </c>
      <c r="S16" s="17">
        <f t="shared" si="10"/>
        <v>95334.370374355072</v>
      </c>
      <c r="T16" s="42">
        <f t="shared" si="11"/>
        <v>-0.2</v>
      </c>
      <c r="U16" s="17">
        <f t="shared" si="10"/>
        <v>63556.24691623672</v>
      </c>
      <c r="V16" s="42">
        <f t="shared" si="11"/>
        <v>-0.1</v>
      </c>
      <c r="W16" s="42">
        <f t="shared" si="12"/>
        <v>0.1</v>
      </c>
      <c r="X16" s="29">
        <f t="shared" si="13"/>
        <v>5.9904609144168196E-2</v>
      </c>
      <c r="Y16" s="21">
        <f t="shared" si="1"/>
        <v>2.3040234286218538E-3</v>
      </c>
      <c r="Z16" s="17">
        <f t="shared" si="2"/>
        <v>3305.1659997618858</v>
      </c>
      <c r="AA16" s="17">
        <f t="shared" si="36"/>
        <v>47566.502315451435</v>
      </c>
      <c r="AB16" s="44">
        <v>0</v>
      </c>
      <c r="AC16" s="17">
        <f t="shared" si="14"/>
        <v>0</v>
      </c>
      <c r="AD16" s="17">
        <f t="shared" si="36"/>
        <v>0</v>
      </c>
      <c r="AE16" s="44">
        <v>0.3</v>
      </c>
      <c r="AF16" s="17">
        <f t="shared" si="15"/>
        <v>991.54979992856568</v>
      </c>
      <c r="AG16" s="17">
        <f t="shared" si="36"/>
        <v>14269.950694635434</v>
      </c>
      <c r="AH16" s="44">
        <v>0.7</v>
      </c>
      <c r="AI16" s="17">
        <f t="shared" si="16"/>
        <v>2313.61619983332</v>
      </c>
      <c r="AJ16" s="17">
        <f t="shared" si="37"/>
        <v>33296.551620816012</v>
      </c>
      <c r="AK16" s="37">
        <f t="shared" si="38"/>
        <v>1153.8461538461538</v>
      </c>
      <c r="AL16" s="17">
        <f t="shared" si="36"/>
        <v>17307.692307692312</v>
      </c>
      <c r="AM16" s="37"/>
      <c r="AN16" s="23">
        <f t="shared" si="17"/>
        <v>2</v>
      </c>
      <c r="AO16" s="37"/>
      <c r="AP16" s="23">
        <f t="shared" si="18"/>
        <v>2</v>
      </c>
      <c r="AQ16" s="37"/>
      <c r="AR16" s="23">
        <f t="shared" si="19"/>
        <v>2</v>
      </c>
      <c r="AS16" s="17">
        <f t="shared" si="20"/>
        <v>4459.0121536080396</v>
      </c>
      <c r="AT16" s="17">
        <f t="shared" si="21"/>
        <v>64880.194623143761</v>
      </c>
      <c r="AU16" s="46">
        <f t="shared" si="39"/>
        <v>24800</v>
      </c>
      <c r="AV16" s="17">
        <f t="shared" si="22"/>
        <v>40080.194623143761</v>
      </c>
      <c r="AW16" s="17">
        <f t="shared" si="40"/>
        <v>4797.1462527511876</v>
      </c>
      <c r="AX16" s="44">
        <f t="shared" si="41"/>
        <v>0.12</v>
      </c>
      <c r="AY16" s="22">
        <f t="shared" si="3"/>
        <v>0.12</v>
      </c>
      <c r="AZ16" s="12">
        <f t="shared" si="23"/>
        <v>0.12</v>
      </c>
    </row>
    <row r="17" spans="1:56" ht="18.75" thickBot="1" x14ac:dyDescent="0.4">
      <c r="A17" s="5">
        <f t="shared" si="24"/>
        <v>44041</v>
      </c>
      <c r="B17" s="37">
        <f t="shared" si="25"/>
        <v>203977.88123447716</v>
      </c>
      <c r="C17" s="18">
        <f t="shared" si="26"/>
        <v>0.14155995574435809</v>
      </c>
      <c r="D17" s="37">
        <f t="shared" si="27"/>
        <v>185898.11462568425</v>
      </c>
      <c r="E17" s="18">
        <f t="shared" si="28"/>
        <v>0.12901265921632427</v>
      </c>
      <c r="F17" s="37">
        <f t="shared" si="29"/>
        <v>973697.09308167011</v>
      </c>
      <c r="G17" s="18">
        <f t="shared" si="30"/>
        <v>0.67574247056035042</v>
      </c>
      <c r="H17" s="38">
        <f t="shared" si="31"/>
        <v>77356.163698223318</v>
      </c>
      <c r="I17" s="18">
        <f t="shared" si="32"/>
        <v>5.3684914478967088E-2</v>
      </c>
      <c r="J17" s="17">
        <f t="shared" si="42"/>
        <v>1440929.252640055</v>
      </c>
      <c r="K17" s="16">
        <f t="shared" si="44"/>
        <v>6409.9857336143032</v>
      </c>
      <c r="L17" s="18">
        <f t="shared" si="33"/>
        <v>4.468385947466234E-3</v>
      </c>
      <c r="M17" s="19">
        <f t="shared" si="34"/>
        <v>26</v>
      </c>
      <c r="N17" s="50">
        <v>5.0000000000000001E-3</v>
      </c>
      <c r="O17" s="29">
        <f t="shared" si="9"/>
        <v>6.0204132189889029E-2</v>
      </c>
      <c r="P17" s="17">
        <f t="shared" si="0"/>
        <v>86749.895202219879</v>
      </c>
      <c r="Q17" s="20">
        <f t="shared" si="43"/>
        <v>9.4907278772034583E-3</v>
      </c>
      <c r="R17" s="42">
        <f t="shared" si="35"/>
        <v>0.2</v>
      </c>
      <c r="S17" s="17">
        <f t="shared" si="10"/>
        <v>95334.370374355072</v>
      </c>
      <c r="T17" s="42">
        <f t="shared" si="11"/>
        <v>-0.2</v>
      </c>
      <c r="U17" s="17">
        <f t="shared" si="10"/>
        <v>63556.24691623672</v>
      </c>
      <c r="V17" s="42">
        <f t="shared" si="11"/>
        <v>-0.1</v>
      </c>
      <c r="W17" s="42">
        <f t="shared" si="12"/>
        <v>0.1</v>
      </c>
      <c r="X17" s="29">
        <f t="shared" si="13"/>
        <v>6.0204132189889029E-2</v>
      </c>
      <c r="Y17" s="21">
        <f t="shared" si="1"/>
        <v>2.3155435457649625E-3</v>
      </c>
      <c r="Z17" s="17">
        <f t="shared" si="2"/>
        <v>3336.5344308546105</v>
      </c>
      <c r="AA17" s="17">
        <f t="shared" si="36"/>
        <v>50903.036746306047</v>
      </c>
      <c r="AB17" s="44">
        <v>0</v>
      </c>
      <c r="AC17" s="17">
        <f t="shared" si="14"/>
        <v>0</v>
      </c>
      <c r="AD17" s="17">
        <f t="shared" si="36"/>
        <v>0</v>
      </c>
      <c r="AE17" s="44">
        <v>0.3</v>
      </c>
      <c r="AF17" s="17">
        <f t="shared" si="15"/>
        <v>1000.9603292563831</v>
      </c>
      <c r="AG17" s="17">
        <f t="shared" si="36"/>
        <v>15270.911023891817</v>
      </c>
      <c r="AH17" s="44">
        <v>0.7</v>
      </c>
      <c r="AI17" s="17">
        <f t="shared" si="16"/>
        <v>2335.5741015982271</v>
      </c>
      <c r="AJ17" s="17">
        <f t="shared" si="37"/>
        <v>35632.125722414239</v>
      </c>
      <c r="AK17" s="37">
        <f t="shared" si="38"/>
        <v>1153.8461538461538</v>
      </c>
      <c r="AL17" s="17">
        <f t="shared" si="36"/>
        <v>18461.538461538465</v>
      </c>
      <c r="AM17" s="37"/>
      <c r="AN17" s="23">
        <f t="shared" si="17"/>
        <v>2</v>
      </c>
      <c r="AO17" s="37"/>
      <c r="AP17" s="23">
        <f t="shared" si="18"/>
        <v>2</v>
      </c>
      <c r="AQ17" s="37"/>
      <c r="AR17" s="23">
        <f t="shared" si="19"/>
        <v>2</v>
      </c>
      <c r="AS17" s="17">
        <f t="shared" si="20"/>
        <v>4490.3805847007643</v>
      </c>
      <c r="AT17" s="17">
        <f t="shared" si="21"/>
        <v>69370.575207844522</v>
      </c>
      <c r="AU17" s="46">
        <f t="shared" si="39"/>
        <v>24800</v>
      </c>
      <c r="AV17" s="17">
        <f t="shared" si="22"/>
        <v>44570.575207844522</v>
      </c>
      <c r="AW17" s="17">
        <f t="shared" si="40"/>
        <v>5335.9919229152792</v>
      </c>
      <c r="AX17" s="44">
        <f t="shared" si="41"/>
        <v>0.12</v>
      </c>
      <c r="AY17" s="22">
        <f t="shared" si="3"/>
        <v>0.12</v>
      </c>
      <c r="AZ17" s="12">
        <f t="shared" si="23"/>
        <v>0.22</v>
      </c>
    </row>
    <row r="18" spans="1:56" ht="18.75" thickBot="1" x14ac:dyDescent="0.4">
      <c r="A18" s="5">
        <f t="shared" si="24"/>
        <v>44055</v>
      </c>
      <c r="B18" s="37">
        <f t="shared" si="25"/>
        <v>204941.28445815382</v>
      </c>
      <c r="C18" s="18">
        <f t="shared" si="26"/>
        <v>0.14159615218966851</v>
      </c>
      <c r="D18" s="37">
        <f t="shared" si="27"/>
        <v>186776.12572091632</v>
      </c>
      <c r="E18" s="18">
        <f t="shared" si="28"/>
        <v>0.12904564735650223</v>
      </c>
      <c r="F18" s="37">
        <f t="shared" si="29"/>
        <v>977290.2514101828</v>
      </c>
      <c r="G18" s="18">
        <f t="shared" si="30"/>
        <v>0.67522041514486086</v>
      </c>
      <c r="H18" s="38">
        <f t="shared" si="31"/>
        <v>78357.124027479702</v>
      </c>
      <c r="I18" s="18">
        <f t="shared" si="32"/>
        <v>5.4137785308968366E-2</v>
      </c>
      <c r="J18" s="17">
        <f t="shared" si="42"/>
        <v>1447364.7856167327</v>
      </c>
      <c r="K18" s="16">
        <f t="shared" si="44"/>
        <v>6435.5329766776413</v>
      </c>
      <c r="L18" s="18">
        <f t="shared" si="33"/>
        <v>4.4662379952981916E-3</v>
      </c>
      <c r="M18" s="19">
        <f t="shared" si="34"/>
        <v>26</v>
      </c>
      <c r="N18" s="50">
        <v>3.0000000000000001E-3</v>
      </c>
      <c r="O18" s="29">
        <f t="shared" si="9"/>
        <v>6.0384744586458691E-2</v>
      </c>
      <c r="P18" s="17">
        <f t="shared" si="0"/>
        <v>87398.752902900946</v>
      </c>
      <c r="Q18" s="20">
        <f t="shared" si="43"/>
        <v>7.4796367092840313E-3</v>
      </c>
      <c r="R18" s="42">
        <f t="shared" si="35"/>
        <v>0.2</v>
      </c>
      <c r="S18" s="17">
        <f t="shared" si="10"/>
        <v>95334.370374355072</v>
      </c>
      <c r="T18" s="42">
        <f t="shared" si="11"/>
        <v>-0.2</v>
      </c>
      <c r="U18" s="17">
        <f t="shared" si="10"/>
        <v>63556.24691623672</v>
      </c>
      <c r="V18" s="42">
        <f t="shared" si="11"/>
        <v>-0.1</v>
      </c>
      <c r="W18" s="42">
        <f t="shared" si="12"/>
        <v>0.1</v>
      </c>
      <c r="X18" s="29">
        <f t="shared" si="13"/>
        <v>6.0384744586458691E-2</v>
      </c>
      <c r="Y18" s="21">
        <f t="shared" si="1"/>
        <v>2.3224901764022574E-3</v>
      </c>
      <c r="Z18" s="17">
        <f t="shared" si="2"/>
        <v>3361.4904962654209</v>
      </c>
      <c r="AA18" s="17">
        <f t="shared" si="36"/>
        <v>54264.527242571465</v>
      </c>
      <c r="AB18" s="44">
        <v>0</v>
      </c>
      <c r="AC18" s="17">
        <f t="shared" si="14"/>
        <v>0</v>
      </c>
      <c r="AD18" s="17">
        <f t="shared" si="36"/>
        <v>0</v>
      </c>
      <c r="AE18" s="44">
        <v>0.3</v>
      </c>
      <c r="AF18" s="17">
        <f t="shared" si="15"/>
        <v>1008.4471488796262</v>
      </c>
      <c r="AG18" s="17">
        <f t="shared" si="36"/>
        <v>16279.358172771443</v>
      </c>
      <c r="AH18" s="44">
        <v>0.7</v>
      </c>
      <c r="AI18" s="17">
        <f t="shared" si="16"/>
        <v>2353.0433473857943</v>
      </c>
      <c r="AJ18" s="17">
        <f t="shared" si="37"/>
        <v>37985.169069800031</v>
      </c>
      <c r="AK18" s="37">
        <f t="shared" si="38"/>
        <v>1153.8461538461538</v>
      </c>
      <c r="AL18" s="17">
        <f t="shared" si="36"/>
        <v>19615.384615384617</v>
      </c>
      <c r="AM18" s="37"/>
      <c r="AN18" s="23">
        <f t="shared" si="17"/>
        <v>2</v>
      </c>
      <c r="AO18" s="37"/>
      <c r="AP18" s="23">
        <f t="shared" si="18"/>
        <v>2</v>
      </c>
      <c r="AQ18" s="37"/>
      <c r="AR18" s="23">
        <f t="shared" si="19"/>
        <v>2</v>
      </c>
      <c r="AS18" s="17">
        <f t="shared" si="20"/>
        <v>4515.3366501115743</v>
      </c>
      <c r="AT18" s="17">
        <f t="shared" si="21"/>
        <v>73885.911857956104</v>
      </c>
      <c r="AU18" s="46">
        <f t="shared" si="39"/>
        <v>24800</v>
      </c>
      <c r="AV18" s="17">
        <f t="shared" si="22"/>
        <v>49085.911857956104</v>
      </c>
      <c r="AW18" s="17">
        <f t="shared" si="40"/>
        <v>5877.8323209286682</v>
      </c>
      <c r="AX18" s="44">
        <f t="shared" si="41"/>
        <v>0.12</v>
      </c>
      <c r="AY18" s="22">
        <f t="shared" si="3"/>
        <v>0.12</v>
      </c>
      <c r="AZ18" s="12">
        <f t="shared" si="23"/>
        <v>0.22</v>
      </c>
    </row>
    <row r="19" spans="1:56" ht="18.75" thickBot="1" x14ac:dyDescent="0.4">
      <c r="A19" s="5">
        <f t="shared" si="24"/>
        <v>44069</v>
      </c>
      <c r="B19" s="37">
        <f t="shared" si="25"/>
        <v>205909.23790936384</v>
      </c>
      <c r="C19" s="18">
        <f t="shared" si="26"/>
        <v>0.14163266087545973</v>
      </c>
      <c r="D19" s="37">
        <f t="shared" si="27"/>
        <v>187658.28373009048</v>
      </c>
      <c r="E19" s="18">
        <f t="shared" si="28"/>
        <v>0.12907892006143951</v>
      </c>
      <c r="F19" s="37">
        <f t="shared" si="29"/>
        <v>980892.85832142958</v>
      </c>
      <c r="G19" s="18">
        <f t="shared" si="30"/>
        <v>0.67469758505420419</v>
      </c>
      <c r="H19" s="38">
        <f t="shared" si="31"/>
        <v>79365.571176359328</v>
      </c>
      <c r="I19" s="18">
        <f t="shared" si="32"/>
        <v>5.4590834008896506E-2</v>
      </c>
      <c r="J19" s="17">
        <f t="shared" si="42"/>
        <v>1453825.9511372433</v>
      </c>
      <c r="K19" s="16">
        <f t="shared" si="44"/>
        <v>6461.1655205106363</v>
      </c>
      <c r="L19" s="18">
        <f t="shared" si="33"/>
        <v>4.4640892086907358E-3</v>
      </c>
      <c r="M19" s="19">
        <f t="shared" si="34"/>
        <v>26</v>
      </c>
      <c r="N19" s="50">
        <v>3.0000000000000001E-3</v>
      </c>
      <c r="O19" s="29">
        <f t="shared" si="9"/>
        <v>6.056589882021806E-2</v>
      </c>
      <c r="P19" s="17">
        <f t="shared" si="0"/>
        <v>88052.27545878556</v>
      </c>
      <c r="Q19" s="20">
        <f t="shared" si="43"/>
        <v>7.477481476316607E-3</v>
      </c>
      <c r="R19" s="42">
        <f t="shared" si="35"/>
        <v>0.2</v>
      </c>
      <c r="S19" s="17">
        <f t="shared" si="10"/>
        <v>95334.370374355072</v>
      </c>
      <c r="T19" s="42">
        <f t="shared" ref="T19:V28" si="45">T18</f>
        <v>-0.2</v>
      </c>
      <c r="U19" s="17">
        <f t="shared" si="10"/>
        <v>63556.24691623672</v>
      </c>
      <c r="V19" s="42">
        <f t="shared" si="45"/>
        <v>-0.1</v>
      </c>
      <c r="W19" s="42">
        <f t="shared" si="12"/>
        <v>0.1</v>
      </c>
      <c r="X19" s="29">
        <f t="shared" si="13"/>
        <v>6.056589882021806E-2</v>
      </c>
      <c r="Y19" s="21">
        <f t="shared" si="1"/>
        <v>2.3294576469314637E-3</v>
      </c>
      <c r="Z19" s="17">
        <f t="shared" si="2"/>
        <v>3386.6259791840598</v>
      </c>
      <c r="AA19" s="17">
        <f t="shared" si="36"/>
        <v>57651.153221755521</v>
      </c>
      <c r="AB19" s="44">
        <v>0</v>
      </c>
      <c r="AC19" s="17">
        <f t="shared" si="14"/>
        <v>0</v>
      </c>
      <c r="AD19" s="17">
        <f t="shared" si="36"/>
        <v>0</v>
      </c>
      <c r="AE19" s="44">
        <v>0.3</v>
      </c>
      <c r="AF19" s="17">
        <f t="shared" si="15"/>
        <v>1015.9877937552179</v>
      </c>
      <c r="AG19" s="17">
        <f t="shared" si="36"/>
        <v>17295.34596652666</v>
      </c>
      <c r="AH19" s="44">
        <v>0.7</v>
      </c>
      <c r="AI19" s="17">
        <f t="shared" si="16"/>
        <v>2370.6381854288416</v>
      </c>
      <c r="AJ19" s="17">
        <f t="shared" si="37"/>
        <v>40355.807255228872</v>
      </c>
      <c r="AK19" s="37">
        <f t="shared" si="38"/>
        <v>1153.8461538461538</v>
      </c>
      <c r="AL19" s="17">
        <f t="shared" si="36"/>
        <v>20769.23076923077</v>
      </c>
      <c r="AM19" s="37"/>
      <c r="AN19" s="23">
        <f t="shared" si="17"/>
        <v>2</v>
      </c>
      <c r="AO19" s="37"/>
      <c r="AP19" s="23">
        <f t="shared" si="18"/>
        <v>2</v>
      </c>
      <c r="AQ19" s="37"/>
      <c r="AR19" s="23">
        <f t="shared" si="19"/>
        <v>2</v>
      </c>
      <c r="AS19" s="17">
        <f t="shared" si="20"/>
        <v>4540.4721330302136</v>
      </c>
      <c r="AT19" s="17">
        <f t="shared" si="21"/>
        <v>78426.383990986316</v>
      </c>
      <c r="AU19" s="46">
        <f t="shared" si="39"/>
        <v>24800</v>
      </c>
      <c r="AV19" s="17">
        <f t="shared" si="22"/>
        <v>53626.383990986316</v>
      </c>
      <c r="AW19" s="17">
        <f t="shared" si="40"/>
        <v>6422.6889768922938</v>
      </c>
      <c r="AX19" s="44">
        <f t="shared" si="41"/>
        <v>0.12</v>
      </c>
      <c r="AY19" s="22">
        <f t="shared" si="3"/>
        <v>0.12</v>
      </c>
      <c r="AZ19" s="12">
        <f t="shared" si="23"/>
        <v>0.22</v>
      </c>
    </row>
    <row r="20" spans="1:56" ht="18.75" thickBot="1" x14ac:dyDescent="0.4">
      <c r="A20" s="5">
        <f t="shared" si="24"/>
        <v>44083</v>
      </c>
      <c r="B20" s="37">
        <f t="shared" si="25"/>
        <v>206881.7630791819</v>
      </c>
      <c r="C20" s="18">
        <f t="shared" si="26"/>
        <v>0.14166948216176034</v>
      </c>
      <c r="D20" s="37">
        <f t="shared" si="27"/>
        <v>188544.60823940029</v>
      </c>
      <c r="E20" s="18">
        <f t="shared" si="28"/>
        <v>0.12911247765925332</v>
      </c>
      <c r="F20" s="37">
        <f t="shared" si="29"/>
        <v>984504.90436232032</v>
      </c>
      <c r="G20" s="18">
        <f t="shared" si="30"/>
        <v>0.67417397218014297</v>
      </c>
      <c r="H20" s="38">
        <f t="shared" si="31"/>
        <v>80381.558970114551</v>
      </c>
      <c r="I20" s="18">
        <f t="shared" si="32"/>
        <v>5.5044067998843552E-2</v>
      </c>
      <c r="J20" s="17">
        <f t="shared" si="42"/>
        <v>1460312.8346510169</v>
      </c>
      <c r="K20" s="16">
        <f t="shared" si="44"/>
        <v>6486.8835137735587</v>
      </c>
      <c r="L20" s="18">
        <f t="shared" si="33"/>
        <v>4.4619395524610412E-3</v>
      </c>
      <c r="M20" s="19">
        <f t="shared" si="34"/>
        <v>26</v>
      </c>
      <c r="N20" s="50">
        <v>1E-3</v>
      </c>
      <c r="O20" s="29">
        <f t="shared" si="9"/>
        <v>6.0626464719038271E-2</v>
      </c>
      <c r="P20" s="17">
        <f t="shared" si="0"/>
        <v>88533.604548728646</v>
      </c>
      <c r="Q20" s="20">
        <f t="shared" si="43"/>
        <v>5.4664014920134734E-3</v>
      </c>
      <c r="R20" s="42">
        <f t="shared" si="35"/>
        <v>0.2</v>
      </c>
      <c r="S20" s="17">
        <f t="shared" si="10"/>
        <v>95334.370374355072</v>
      </c>
      <c r="T20" s="42">
        <f t="shared" si="45"/>
        <v>-0.2</v>
      </c>
      <c r="U20" s="17">
        <f t="shared" si="10"/>
        <v>63556.24691623672</v>
      </c>
      <c r="V20" s="42">
        <f t="shared" si="45"/>
        <v>-0.1</v>
      </c>
      <c r="W20" s="42">
        <f t="shared" si="12"/>
        <v>0.1</v>
      </c>
      <c r="X20" s="29">
        <f t="shared" si="13"/>
        <v>6.0626464719038271E-2</v>
      </c>
      <c r="Y20" s="21">
        <f t="shared" si="1"/>
        <v>2.3317871045783951E-3</v>
      </c>
      <c r="Z20" s="17">
        <f t="shared" si="2"/>
        <v>3405.1386364895634</v>
      </c>
      <c r="AA20" s="17">
        <f t="shared" ref="AA20:AL28" si="46">AA19+Z20</f>
        <v>61056.291858245087</v>
      </c>
      <c r="AB20" s="44">
        <v>0</v>
      </c>
      <c r="AC20" s="17">
        <f t="shared" si="14"/>
        <v>0</v>
      </c>
      <c r="AD20" s="17">
        <f t="shared" si="46"/>
        <v>0</v>
      </c>
      <c r="AE20" s="44">
        <v>0.3</v>
      </c>
      <c r="AF20" s="17">
        <f t="shared" si="15"/>
        <v>1021.541590946869</v>
      </c>
      <c r="AG20" s="17">
        <f t="shared" si="46"/>
        <v>18316.887557473528</v>
      </c>
      <c r="AH20" s="44">
        <v>0.7</v>
      </c>
      <c r="AI20" s="17">
        <f t="shared" si="16"/>
        <v>2383.5970455426941</v>
      </c>
      <c r="AJ20" s="17">
        <f t="shared" si="37"/>
        <v>42739.404300771566</v>
      </c>
      <c r="AK20" s="37">
        <f t="shared" si="38"/>
        <v>1153.8461538461538</v>
      </c>
      <c r="AL20" s="17">
        <f t="shared" si="46"/>
        <v>21923.076923076922</v>
      </c>
      <c r="AM20" s="37"/>
      <c r="AN20" s="23">
        <f t="shared" si="17"/>
        <v>2</v>
      </c>
      <c r="AO20" s="37"/>
      <c r="AP20" s="23">
        <f t="shared" si="18"/>
        <v>2</v>
      </c>
      <c r="AQ20" s="37"/>
      <c r="AR20" s="23">
        <f t="shared" si="19"/>
        <v>2</v>
      </c>
      <c r="AS20" s="17">
        <f t="shared" si="20"/>
        <v>4558.9847903357168</v>
      </c>
      <c r="AT20" s="17">
        <f t="shared" si="21"/>
        <v>82985.368781322031</v>
      </c>
      <c r="AU20" s="46">
        <f t="shared" si="39"/>
        <v>24800</v>
      </c>
      <c r="AV20" s="17">
        <f t="shared" si="22"/>
        <v>58185.368781322031</v>
      </c>
      <c r="AW20" s="17">
        <f t="shared" si="40"/>
        <v>6969.7671517325798</v>
      </c>
      <c r="AX20" s="44">
        <f t="shared" si="41"/>
        <v>0.12</v>
      </c>
      <c r="AY20" s="22">
        <f t="shared" si="3"/>
        <v>0.12</v>
      </c>
      <c r="AZ20" s="12">
        <f t="shared" si="23"/>
        <v>0.22</v>
      </c>
    </row>
    <row r="21" spans="1:56" ht="18.75" thickBot="1" x14ac:dyDescent="0.4">
      <c r="A21" s="5">
        <f t="shared" si="24"/>
        <v>44097</v>
      </c>
      <c r="B21" s="37">
        <f t="shared" si="25"/>
        <v>207858.88156018662</v>
      </c>
      <c r="C21" s="18">
        <f t="shared" si="26"/>
        <v>0.14170661548445454</v>
      </c>
      <c r="D21" s="37">
        <f t="shared" si="27"/>
        <v>189435.11892754637</v>
      </c>
      <c r="E21" s="18">
        <f t="shared" si="28"/>
        <v>0.12914631963582876</v>
      </c>
      <c r="F21" s="37">
        <f t="shared" si="29"/>
        <v>988128.43034630897</v>
      </c>
      <c r="G21" s="18">
        <f t="shared" si="30"/>
        <v>0.67365096202443131</v>
      </c>
      <c r="H21" s="38">
        <f t="shared" si="31"/>
        <v>81403.100561061423</v>
      </c>
      <c r="I21" s="18">
        <f t="shared" si="32"/>
        <v>5.5496102855285473E-2</v>
      </c>
      <c r="J21" s="17">
        <f t="shared" si="42"/>
        <v>1466825.5313951033</v>
      </c>
      <c r="K21" s="16">
        <f t="shared" si="44"/>
        <v>6512.6967440864537</v>
      </c>
      <c r="L21" s="18">
        <f t="shared" si="33"/>
        <v>4.4597955928003929E-3</v>
      </c>
      <c r="M21" s="19">
        <f t="shared" si="34"/>
        <v>26</v>
      </c>
      <c r="N21" s="50">
        <v>1E-3</v>
      </c>
      <c r="O21" s="29">
        <f t="shared" si="9"/>
        <v>6.06870911837573E-2</v>
      </c>
      <c r="P21" s="17">
        <f t="shared" si="0"/>
        <v>89017.374774437892</v>
      </c>
      <c r="Q21" s="20">
        <f t="shared" si="43"/>
        <v>5.4642553883930056E-3</v>
      </c>
      <c r="R21" s="42">
        <f t="shared" si="35"/>
        <v>0.2</v>
      </c>
      <c r="S21" s="17">
        <f t="shared" si="10"/>
        <v>95334.370374355072</v>
      </c>
      <c r="T21" s="42">
        <f t="shared" si="45"/>
        <v>-0.2</v>
      </c>
      <c r="U21" s="17">
        <f t="shared" si="10"/>
        <v>63556.24691623672</v>
      </c>
      <c r="V21" s="42">
        <f t="shared" si="45"/>
        <v>-0.1</v>
      </c>
      <c r="W21" s="42">
        <f t="shared" si="12"/>
        <v>0.1</v>
      </c>
      <c r="X21" s="29">
        <f t="shared" si="13"/>
        <v>6.06870911837573E-2</v>
      </c>
      <c r="Y21" s="21">
        <f t="shared" si="1"/>
        <v>2.3341188916829732E-3</v>
      </c>
      <c r="Z21" s="17">
        <f t="shared" si="2"/>
        <v>3423.7451836322266</v>
      </c>
      <c r="AA21" s="17">
        <f t="shared" si="46"/>
        <v>64480.037041877316</v>
      </c>
      <c r="AB21" s="44">
        <v>0</v>
      </c>
      <c r="AC21" s="17">
        <f t="shared" si="14"/>
        <v>0</v>
      </c>
      <c r="AD21" s="17">
        <f t="shared" si="46"/>
        <v>0</v>
      </c>
      <c r="AE21" s="44">
        <v>0.3</v>
      </c>
      <c r="AF21" s="17">
        <f t="shared" si="15"/>
        <v>1027.1235550896679</v>
      </c>
      <c r="AG21" s="17">
        <f t="shared" si="46"/>
        <v>19344.011112563196</v>
      </c>
      <c r="AH21" s="44">
        <v>0.7</v>
      </c>
      <c r="AI21" s="17">
        <f t="shared" si="16"/>
        <v>2396.6216285425585</v>
      </c>
      <c r="AJ21" s="17">
        <f t="shared" si="37"/>
        <v>45136.025929314128</v>
      </c>
      <c r="AK21" s="37">
        <f t="shared" si="38"/>
        <v>1153.8461538461538</v>
      </c>
      <c r="AL21" s="17">
        <f t="shared" si="46"/>
        <v>23076.923076923074</v>
      </c>
      <c r="AM21" s="37"/>
      <c r="AN21" s="23">
        <f t="shared" si="17"/>
        <v>2</v>
      </c>
      <c r="AO21" s="37"/>
      <c r="AP21" s="23">
        <f t="shared" si="18"/>
        <v>2</v>
      </c>
      <c r="AQ21" s="37"/>
      <c r="AR21" s="23">
        <f t="shared" si="19"/>
        <v>2</v>
      </c>
      <c r="AS21" s="17">
        <f t="shared" si="20"/>
        <v>4577.5913374783804</v>
      </c>
      <c r="AT21" s="17">
        <f t="shared" si="21"/>
        <v>87562.960118800416</v>
      </c>
      <c r="AU21" s="46">
        <f t="shared" si="39"/>
        <v>24800</v>
      </c>
      <c r="AV21" s="17">
        <f t="shared" si="22"/>
        <v>62762.960118800416</v>
      </c>
      <c r="AW21" s="17">
        <f t="shared" si="40"/>
        <v>7519.078112229985</v>
      </c>
      <c r="AX21" s="44">
        <f t="shared" si="41"/>
        <v>0.12</v>
      </c>
      <c r="AY21" s="22">
        <f t="shared" si="3"/>
        <v>0.12</v>
      </c>
      <c r="AZ21" s="12">
        <f t="shared" si="23"/>
        <v>0.22</v>
      </c>
    </row>
    <row r="22" spans="1:56" ht="18.75" thickBot="1" x14ac:dyDescent="0.4">
      <c r="A22" s="5">
        <f t="shared" si="24"/>
        <v>44111</v>
      </c>
      <c r="B22" s="37">
        <f t="shared" si="25"/>
        <v>208840.6150469401</v>
      </c>
      <c r="C22" s="18">
        <f t="shared" si="26"/>
        <v>0.14174406028576211</v>
      </c>
      <c r="D22" s="37">
        <f t="shared" si="27"/>
        <v>190329.83556617337</v>
      </c>
      <c r="E22" s="18">
        <f t="shared" si="28"/>
        <v>0.1291804454828249</v>
      </c>
      <c r="F22" s="37">
        <f t="shared" si="29"/>
        <v>991763.46219406382</v>
      </c>
      <c r="G22" s="18">
        <f t="shared" si="30"/>
        <v>0.67312854802144118</v>
      </c>
      <c r="H22" s="38">
        <f t="shared" si="31"/>
        <v>82430.22411615109</v>
      </c>
      <c r="I22" s="18">
        <f t="shared" si="32"/>
        <v>5.5946946209971878E-2</v>
      </c>
      <c r="J22" s="17">
        <f t="shared" si="42"/>
        <v>1473364.1369233283</v>
      </c>
      <c r="K22" s="16">
        <f t="shared" si="44"/>
        <v>6538.6055282249581</v>
      </c>
      <c r="L22" s="18">
        <f t="shared" si="33"/>
        <v>4.4576572934383451E-3</v>
      </c>
      <c r="M22" s="19">
        <f t="shared" si="34"/>
        <v>26</v>
      </c>
      <c r="N22" s="50">
        <v>0</v>
      </c>
      <c r="O22" s="29">
        <f t="shared" si="9"/>
        <v>6.06870911837573E-2</v>
      </c>
      <c r="P22" s="17">
        <f t="shared" si="0"/>
        <v>89414.183724343893</v>
      </c>
      <c r="Q22" s="20">
        <f t="shared" si="43"/>
        <v>4.4576572934382662E-3</v>
      </c>
      <c r="R22" s="42">
        <f t="shared" si="35"/>
        <v>0.2</v>
      </c>
      <c r="S22" s="17">
        <f t="shared" si="10"/>
        <v>95334.370374355072</v>
      </c>
      <c r="T22" s="42">
        <f t="shared" si="45"/>
        <v>-0.2</v>
      </c>
      <c r="U22" s="17">
        <f t="shared" si="10"/>
        <v>63556.24691623672</v>
      </c>
      <c r="V22" s="42">
        <f t="shared" si="45"/>
        <v>-0.1</v>
      </c>
      <c r="W22" s="42">
        <f t="shared" si="12"/>
        <v>0.1</v>
      </c>
      <c r="X22" s="29">
        <f t="shared" si="13"/>
        <v>6.06870911837573E-2</v>
      </c>
      <c r="Y22" s="21">
        <f t="shared" si="1"/>
        <v>2.3341188916829732E-3</v>
      </c>
      <c r="Z22" s="17">
        <f t="shared" si="2"/>
        <v>3439.0070663209194</v>
      </c>
      <c r="AA22" s="17">
        <f t="shared" si="46"/>
        <v>67919.044108198243</v>
      </c>
      <c r="AB22" s="44">
        <v>0</v>
      </c>
      <c r="AC22" s="17">
        <f t="shared" si="14"/>
        <v>0</v>
      </c>
      <c r="AD22" s="17">
        <f t="shared" si="46"/>
        <v>0</v>
      </c>
      <c r="AE22" s="44">
        <v>0.3</v>
      </c>
      <c r="AF22" s="17">
        <f t="shared" si="15"/>
        <v>1031.7021198962757</v>
      </c>
      <c r="AG22" s="17">
        <f t="shared" si="46"/>
        <v>20375.713232459471</v>
      </c>
      <c r="AH22" s="44">
        <v>0.7</v>
      </c>
      <c r="AI22" s="17">
        <f t="shared" si="16"/>
        <v>2407.3049464246433</v>
      </c>
      <c r="AJ22" s="17">
        <f t="shared" si="37"/>
        <v>47543.330875738771</v>
      </c>
      <c r="AK22" s="37">
        <f t="shared" si="38"/>
        <v>1153.8461538461538</v>
      </c>
      <c r="AL22" s="17">
        <f t="shared" si="46"/>
        <v>24230.769230769227</v>
      </c>
      <c r="AM22" s="37"/>
      <c r="AN22" s="23">
        <f t="shared" si="17"/>
        <v>2</v>
      </c>
      <c r="AO22" s="37"/>
      <c r="AP22" s="23">
        <f t="shared" si="18"/>
        <v>2</v>
      </c>
      <c r="AQ22" s="37"/>
      <c r="AR22" s="23">
        <f t="shared" si="19"/>
        <v>2</v>
      </c>
      <c r="AS22" s="17">
        <f t="shared" si="20"/>
        <v>4592.8532201670732</v>
      </c>
      <c r="AT22" s="17">
        <f t="shared" si="21"/>
        <v>92155.813338967491</v>
      </c>
      <c r="AU22" s="46">
        <f t="shared" si="39"/>
        <v>24800</v>
      </c>
      <c r="AV22" s="17">
        <f t="shared" si="22"/>
        <v>67355.813338967491</v>
      </c>
      <c r="AW22" s="17">
        <f t="shared" si="40"/>
        <v>8070.2204986500337</v>
      </c>
      <c r="AX22" s="44">
        <f t="shared" si="41"/>
        <v>0.12</v>
      </c>
      <c r="AY22" s="22">
        <f t="shared" si="3"/>
        <v>0.12</v>
      </c>
      <c r="AZ22" s="12">
        <f t="shared" si="23"/>
        <v>0.22</v>
      </c>
    </row>
    <row r="23" spans="1:56" ht="18.75" thickBot="1" x14ac:dyDescent="0.4">
      <c r="A23" s="5">
        <f t="shared" si="24"/>
        <v>44125</v>
      </c>
      <c r="B23" s="37">
        <f t="shared" si="25"/>
        <v>209826.98533646949</v>
      </c>
      <c r="C23" s="18">
        <f t="shared" si="26"/>
        <v>0.1417818155473683</v>
      </c>
      <c r="D23" s="37">
        <f t="shared" si="27"/>
        <v>191228.77802030896</v>
      </c>
      <c r="E23" s="18">
        <f t="shared" si="28"/>
        <v>0.12921485427218632</v>
      </c>
      <c r="F23" s="37">
        <f t="shared" si="29"/>
        <v>995411.06238713313</v>
      </c>
      <c r="G23" s="18">
        <f t="shared" si="30"/>
        <v>0.6726074218474356</v>
      </c>
      <c r="H23" s="38">
        <f t="shared" si="31"/>
        <v>83461.926236047366</v>
      </c>
      <c r="I23" s="18">
        <f t="shared" si="32"/>
        <v>5.6395908333009802E-2</v>
      </c>
      <c r="J23" s="17">
        <f t="shared" si="42"/>
        <v>1479928.751979959</v>
      </c>
      <c r="K23" s="16">
        <f t="shared" si="44"/>
        <v>6564.6150566306897</v>
      </c>
      <c r="L23" s="18">
        <f t="shared" si="33"/>
        <v>4.4555279255940666E-3</v>
      </c>
      <c r="M23" s="19">
        <f t="shared" si="34"/>
        <v>26</v>
      </c>
      <c r="N23" s="50">
        <v>0</v>
      </c>
      <c r="O23" s="29">
        <f t="shared" si="9"/>
        <v>6.06870911837573E-2</v>
      </c>
      <c r="P23" s="17">
        <f t="shared" si="0"/>
        <v>89812.571116871914</v>
      </c>
      <c r="Q23" s="20">
        <f t="shared" si="43"/>
        <v>4.4555279255941533E-3</v>
      </c>
      <c r="R23" s="42">
        <f t="shared" si="35"/>
        <v>0.2</v>
      </c>
      <c r="S23" s="17">
        <f t="shared" si="10"/>
        <v>95334.370374355072</v>
      </c>
      <c r="T23" s="42">
        <f t="shared" si="45"/>
        <v>-0.2</v>
      </c>
      <c r="U23" s="17">
        <f t="shared" si="10"/>
        <v>63556.24691623672</v>
      </c>
      <c r="V23" s="42">
        <f t="shared" si="45"/>
        <v>-0.1</v>
      </c>
      <c r="W23" s="42">
        <f t="shared" si="12"/>
        <v>0.1</v>
      </c>
      <c r="X23" s="29">
        <f t="shared" si="13"/>
        <v>6.06870911837573E-2</v>
      </c>
      <c r="Y23" s="21">
        <f t="shared" si="1"/>
        <v>2.3341188916829732E-3</v>
      </c>
      <c r="Z23" s="17">
        <f t="shared" si="2"/>
        <v>3454.3296583412275</v>
      </c>
      <c r="AA23" s="17">
        <f t="shared" si="46"/>
        <v>71373.373766539473</v>
      </c>
      <c r="AB23" s="44">
        <v>0</v>
      </c>
      <c r="AC23" s="17">
        <f t="shared" si="14"/>
        <v>0</v>
      </c>
      <c r="AD23" s="17">
        <f t="shared" si="46"/>
        <v>0</v>
      </c>
      <c r="AE23" s="44">
        <v>0.3</v>
      </c>
      <c r="AF23" s="17">
        <f t="shared" si="15"/>
        <v>1036.2988975023682</v>
      </c>
      <c r="AG23" s="17">
        <f t="shared" si="46"/>
        <v>21412.01212996184</v>
      </c>
      <c r="AH23" s="44">
        <v>0.7</v>
      </c>
      <c r="AI23" s="17">
        <f t="shared" si="16"/>
        <v>2418.0307608388589</v>
      </c>
      <c r="AJ23" s="17">
        <f t="shared" si="37"/>
        <v>49961.361636577632</v>
      </c>
      <c r="AK23" s="37">
        <f t="shared" si="38"/>
        <v>1153.8461538461538</v>
      </c>
      <c r="AL23" s="17">
        <f t="shared" si="46"/>
        <v>25384.615384615379</v>
      </c>
      <c r="AM23" s="37"/>
      <c r="AN23" s="23">
        <f t="shared" si="17"/>
        <v>2</v>
      </c>
      <c r="AO23" s="37"/>
      <c r="AP23" s="23">
        <f t="shared" si="18"/>
        <v>2</v>
      </c>
      <c r="AQ23" s="37"/>
      <c r="AR23" s="23">
        <f t="shared" si="19"/>
        <v>2</v>
      </c>
      <c r="AS23" s="17">
        <f t="shared" si="20"/>
        <v>4608.1758121873809</v>
      </c>
      <c r="AT23" s="17">
        <f t="shared" si="21"/>
        <v>96763.989151154878</v>
      </c>
      <c r="AU23" s="46">
        <f t="shared" si="39"/>
        <v>24800</v>
      </c>
      <c r="AV23" s="17">
        <f t="shared" si="22"/>
        <v>71963.989151154878</v>
      </c>
      <c r="AW23" s="17">
        <f t="shared" si="40"/>
        <v>8623.2015961125198</v>
      </c>
      <c r="AX23" s="44">
        <f t="shared" si="41"/>
        <v>0.12</v>
      </c>
      <c r="AY23" s="22">
        <f t="shared" si="3"/>
        <v>0.12</v>
      </c>
      <c r="AZ23" s="12">
        <f t="shared" si="23"/>
        <v>0.22</v>
      </c>
    </row>
    <row r="24" spans="1:56" ht="18.75" thickBot="1" x14ac:dyDescent="0.4">
      <c r="A24" s="5">
        <f t="shared" si="24"/>
        <v>44139</v>
      </c>
      <c r="B24" s="37">
        <f t="shared" si="25"/>
        <v>210818.01432875096</v>
      </c>
      <c r="C24" s="18">
        <f t="shared" si="26"/>
        <v>0.14181988025819173</v>
      </c>
      <c r="D24" s="37">
        <f t="shared" si="27"/>
        <v>192131.96624880488</v>
      </c>
      <c r="E24" s="18">
        <f t="shared" si="28"/>
        <v>0.12924954508244979</v>
      </c>
      <c r="F24" s="37">
        <f t="shared" si="29"/>
        <v>999071.27198795858</v>
      </c>
      <c r="G24" s="18">
        <f t="shared" si="30"/>
        <v>0.67208757569351807</v>
      </c>
      <c r="H24" s="38">
        <f t="shared" si="31"/>
        <v>84498.225133549728</v>
      </c>
      <c r="I24" s="18">
        <f t="shared" si="32"/>
        <v>5.6842998965840552E-2</v>
      </c>
      <c r="J24" s="17">
        <f t="shared" si="42"/>
        <v>1486519.477699064</v>
      </c>
      <c r="K24" s="16">
        <f t="shared" si="44"/>
        <v>6590.7257191049866</v>
      </c>
      <c r="L24" s="18">
        <f t="shared" si="33"/>
        <v>4.4534074429511709E-3</v>
      </c>
      <c r="M24" s="19">
        <f t="shared" si="34"/>
        <v>26</v>
      </c>
      <c r="N24" s="50">
        <v>-1E-3</v>
      </c>
      <c r="O24" s="29">
        <f t="shared" si="9"/>
        <v>6.0626404092573541E-2</v>
      </c>
      <c r="P24" s="17">
        <f t="shared" si="0"/>
        <v>90122.330546464815</v>
      </c>
      <c r="Q24" s="20">
        <f t="shared" si="43"/>
        <v>3.4489540355081838E-3</v>
      </c>
      <c r="R24" s="42">
        <f t="shared" si="35"/>
        <v>0.2</v>
      </c>
      <c r="S24" s="17">
        <f t="shared" si="10"/>
        <v>95334.370374355072</v>
      </c>
      <c r="T24" s="42">
        <f t="shared" si="45"/>
        <v>-0.2</v>
      </c>
      <c r="U24" s="17">
        <f t="shared" si="10"/>
        <v>63556.24691623672</v>
      </c>
      <c r="V24" s="42">
        <f t="shared" si="45"/>
        <v>-0.1</v>
      </c>
      <c r="W24" s="42">
        <f t="shared" si="12"/>
        <v>0.1</v>
      </c>
      <c r="X24" s="29">
        <f t="shared" si="13"/>
        <v>6.0626404092573541E-2</v>
      </c>
      <c r="Y24" s="21">
        <f t="shared" si="1"/>
        <v>2.3317847727912901E-3</v>
      </c>
      <c r="Z24" s="17">
        <f t="shared" si="2"/>
        <v>3466.2434825563391</v>
      </c>
      <c r="AA24" s="17">
        <f t="shared" si="46"/>
        <v>74839.617249095812</v>
      </c>
      <c r="AB24" s="44">
        <v>1</v>
      </c>
      <c r="AC24" s="17">
        <f t="shared" si="14"/>
        <v>3466.2434825563391</v>
      </c>
      <c r="AD24" s="17">
        <f t="shared" si="46"/>
        <v>3466.2434825563391</v>
      </c>
      <c r="AE24" s="44">
        <v>0</v>
      </c>
      <c r="AF24" s="17">
        <f t="shared" si="15"/>
        <v>0</v>
      </c>
      <c r="AG24" s="17">
        <f t="shared" si="46"/>
        <v>21412.01212996184</v>
      </c>
      <c r="AH24" s="44">
        <v>0</v>
      </c>
      <c r="AI24" s="17">
        <f t="shared" si="16"/>
        <v>0</v>
      </c>
      <c r="AJ24" s="17">
        <f t="shared" si="37"/>
        <v>49961.361636577632</v>
      </c>
      <c r="AK24" s="37">
        <f t="shared" si="38"/>
        <v>1153.8461538461538</v>
      </c>
      <c r="AL24" s="17">
        <f t="shared" si="46"/>
        <v>26538.461538461532</v>
      </c>
      <c r="AM24" s="37"/>
      <c r="AN24" s="23">
        <f t="shared" si="17"/>
        <v>2</v>
      </c>
      <c r="AO24" s="37"/>
      <c r="AP24" s="23">
        <f t="shared" si="18"/>
        <v>2</v>
      </c>
      <c r="AQ24" s="37"/>
      <c r="AR24" s="23">
        <f t="shared" si="19"/>
        <v>2</v>
      </c>
      <c r="AS24" s="17">
        <f t="shared" si="20"/>
        <v>4620.0896364024929</v>
      </c>
      <c r="AT24" s="17">
        <f t="shared" si="21"/>
        <v>101384.07878755737</v>
      </c>
      <c r="AU24" s="46">
        <f t="shared" si="39"/>
        <v>24800</v>
      </c>
      <c r="AV24" s="17">
        <f t="shared" si="22"/>
        <v>76584.078787557373</v>
      </c>
      <c r="AW24" s="17">
        <f t="shared" si="40"/>
        <v>9177.612352480819</v>
      </c>
      <c r="AX24" s="44">
        <f t="shared" si="41"/>
        <v>0.12</v>
      </c>
      <c r="AY24" s="22">
        <f t="shared" si="3"/>
        <v>0.12</v>
      </c>
      <c r="AZ24" s="12">
        <f t="shared" si="23"/>
        <v>0.22</v>
      </c>
    </row>
    <row r="25" spans="1:56" ht="18.75" thickBot="1" x14ac:dyDescent="0.4">
      <c r="A25" s="5">
        <f t="shared" si="24"/>
        <v>44153</v>
      </c>
      <c r="B25" s="37">
        <f t="shared" si="25"/>
        <v>215296.33884435453</v>
      </c>
      <c r="C25" s="18">
        <f t="shared" si="26"/>
        <v>0.14419019435160718</v>
      </c>
      <c r="D25" s="37">
        <f t="shared" si="27"/>
        <v>193039.42030477998</v>
      </c>
      <c r="E25" s="18">
        <f t="shared" si="28"/>
        <v>0.12928409131652857</v>
      </c>
      <c r="F25" s="37">
        <f t="shared" si="29"/>
        <v>1000307.3476400353</v>
      </c>
      <c r="G25" s="18">
        <f t="shared" si="30"/>
        <v>0.6699348054024723</v>
      </c>
      <c r="H25" s="38">
        <f t="shared" si="31"/>
        <v>84498.225133549728</v>
      </c>
      <c r="I25" s="18">
        <f t="shared" si="32"/>
        <v>5.6590908929392024E-2</v>
      </c>
      <c r="J25" s="17">
        <f t="shared" si="42"/>
        <v>1493141.3319227195</v>
      </c>
      <c r="K25" s="16">
        <f t="shared" si="44"/>
        <v>6621.8542236555368</v>
      </c>
      <c r="L25" s="18">
        <f t="shared" si="33"/>
        <v>4.4546030664228452E-3</v>
      </c>
      <c r="M25" s="19">
        <f t="shared" si="34"/>
        <v>26</v>
      </c>
      <c r="N25" s="50">
        <v>-1E-3</v>
      </c>
      <c r="O25" s="29">
        <f t="shared" si="9"/>
        <v>6.0565777688480968E-2</v>
      </c>
      <c r="P25" s="17">
        <f t="shared" si="0"/>
        <v>90433.265966713792</v>
      </c>
      <c r="Q25" s="20">
        <f t="shared" si="43"/>
        <v>3.4501484633563386E-3</v>
      </c>
      <c r="R25" s="42">
        <f t="shared" si="35"/>
        <v>0.2</v>
      </c>
      <c r="S25" s="17">
        <f t="shared" si="10"/>
        <v>95334.370374355072</v>
      </c>
      <c r="T25" s="42">
        <f t="shared" si="45"/>
        <v>-0.2</v>
      </c>
      <c r="U25" s="17">
        <f t="shared" si="10"/>
        <v>63556.24691623672</v>
      </c>
      <c r="V25" s="42">
        <f t="shared" si="45"/>
        <v>-0.1</v>
      </c>
      <c r="W25" s="42">
        <f t="shared" si="12"/>
        <v>0.1</v>
      </c>
      <c r="X25" s="29">
        <f t="shared" si="13"/>
        <v>6.0565777688480968E-2</v>
      </c>
      <c r="Y25" s="21">
        <f t="shared" si="1"/>
        <v>2.3294529880184987E-3</v>
      </c>
      <c r="Z25" s="17">
        <f t="shared" si="2"/>
        <v>3478.2025371812997</v>
      </c>
      <c r="AA25" s="17">
        <f t="shared" si="46"/>
        <v>78317.819786277105</v>
      </c>
      <c r="AB25" s="44">
        <v>1</v>
      </c>
      <c r="AC25" s="17">
        <f t="shared" si="14"/>
        <v>3478.2025371812997</v>
      </c>
      <c r="AD25" s="17">
        <f t="shared" si="46"/>
        <v>6944.4460197376393</v>
      </c>
      <c r="AE25" s="44">
        <v>0</v>
      </c>
      <c r="AF25" s="17">
        <f t="shared" si="15"/>
        <v>0</v>
      </c>
      <c r="AG25" s="17">
        <f t="shared" si="46"/>
        <v>21412.01212996184</v>
      </c>
      <c r="AH25" s="44">
        <v>0</v>
      </c>
      <c r="AI25" s="17">
        <f t="shared" si="16"/>
        <v>0</v>
      </c>
      <c r="AJ25" s="17">
        <f t="shared" si="37"/>
        <v>49961.361636577632</v>
      </c>
      <c r="AK25" s="37">
        <f t="shared" si="38"/>
        <v>1153.8461538461538</v>
      </c>
      <c r="AL25" s="17">
        <f t="shared" si="46"/>
        <v>27692.307692307684</v>
      </c>
      <c r="AM25" s="37"/>
      <c r="AN25" s="23">
        <f t="shared" si="17"/>
        <v>2</v>
      </c>
      <c r="AO25" s="37"/>
      <c r="AP25" s="23">
        <f t="shared" si="18"/>
        <v>2</v>
      </c>
      <c r="AQ25" s="37"/>
      <c r="AR25" s="23">
        <f t="shared" si="19"/>
        <v>2</v>
      </c>
      <c r="AS25" s="17">
        <f t="shared" si="20"/>
        <v>4632.048691027454</v>
      </c>
      <c r="AT25" s="17">
        <f t="shared" si="21"/>
        <v>106016.12747858482</v>
      </c>
      <c r="AU25" s="46">
        <f t="shared" si="39"/>
        <v>24800</v>
      </c>
      <c r="AV25" s="17">
        <f t="shared" si="22"/>
        <v>81216.127478584822</v>
      </c>
      <c r="AW25" s="17">
        <f t="shared" si="40"/>
        <v>10196.663064506858</v>
      </c>
      <c r="AX25" s="44">
        <f t="shared" si="41"/>
        <v>0.12</v>
      </c>
      <c r="AY25" s="22">
        <f t="shared" si="3"/>
        <v>0.22</v>
      </c>
      <c r="AZ25" s="12">
        <f t="shared" si="23"/>
        <v>0.22</v>
      </c>
    </row>
    <row r="26" spans="1:56" ht="18.75" thickBot="1" x14ac:dyDescent="0.4">
      <c r="A26" s="5">
        <f t="shared" si="24"/>
        <v>44167</v>
      </c>
      <c r="B26" s="37">
        <f t="shared" si="25"/>
        <v>219807.83036929168</v>
      </c>
      <c r="C26" s="18">
        <f t="shared" si="26"/>
        <v>0.14655863585738474</v>
      </c>
      <c r="D26" s="37">
        <f t="shared" si="27"/>
        <v>193951.16033606563</v>
      </c>
      <c r="E26" s="18">
        <f t="shared" si="28"/>
        <v>0.12931849349522462</v>
      </c>
      <c r="F26" s="37">
        <f t="shared" si="29"/>
        <v>1001537.2458343396</v>
      </c>
      <c r="G26" s="18">
        <f t="shared" si="30"/>
        <v>0.66778300055660567</v>
      </c>
      <c r="H26" s="38">
        <f t="shared" si="31"/>
        <v>84498.225133549728</v>
      </c>
      <c r="I26" s="18">
        <f t="shared" si="32"/>
        <v>5.633987009078513E-2</v>
      </c>
      <c r="J26" s="17">
        <f t="shared" si="42"/>
        <v>1499794.4616732465</v>
      </c>
      <c r="K26" s="16">
        <f t="shared" si="44"/>
        <v>6653.1297505269758</v>
      </c>
      <c r="L26" s="18">
        <f t="shared" si="33"/>
        <v>4.4557937070563401E-3</v>
      </c>
      <c r="M26" s="19">
        <f t="shared" si="34"/>
        <v>26</v>
      </c>
      <c r="N26" s="50">
        <v>1E-3</v>
      </c>
      <c r="O26" s="29">
        <f t="shared" si="9"/>
        <v>6.0626343466169443E-2</v>
      </c>
      <c r="P26" s="17">
        <f t="shared" si="0"/>
        <v>90927.054162060944</v>
      </c>
      <c r="Q26" s="20">
        <f t="shared" si="43"/>
        <v>5.460249500763386E-3</v>
      </c>
      <c r="R26" s="42">
        <f t="shared" si="35"/>
        <v>0.2</v>
      </c>
      <c r="S26" s="17">
        <f t="shared" si="10"/>
        <v>95334.370374355072</v>
      </c>
      <c r="T26" s="42">
        <f t="shared" si="45"/>
        <v>-0.2</v>
      </c>
      <c r="U26" s="17">
        <f t="shared" si="10"/>
        <v>63556.24691623672</v>
      </c>
      <c r="V26" s="42">
        <f t="shared" si="45"/>
        <v>-0.1</v>
      </c>
      <c r="W26" s="42">
        <f t="shared" si="12"/>
        <v>0.1</v>
      </c>
      <c r="X26" s="29">
        <f t="shared" si="13"/>
        <v>6.0626343466169443E-2</v>
      </c>
      <c r="Y26" s="21">
        <f t="shared" si="1"/>
        <v>2.331782441006517E-3</v>
      </c>
      <c r="Z26" s="17">
        <f t="shared" si="2"/>
        <v>3497.1943908484977</v>
      </c>
      <c r="AA26" s="17">
        <f t="shared" si="46"/>
        <v>81815.014177125602</v>
      </c>
      <c r="AB26" s="44">
        <v>0.5</v>
      </c>
      <c r="AC26" s="17">
        <f t="shared" si="14"/>
        <v>1748.5971954242489</v>
      </c>
      <c r="AD26" s="17">
        <f t="shared" si="46"/>
        <v>8693.0432151618879</v>
      </c>
      <c r="AE26" s="44">
        <v>0.5</v>
      </c>
      <c r="AF26" s="17">
        <f t="shared" si="15"/>
        <v>1748.5971954242489</v>
      </c>
      <c r="AG26" s="17">
        <f t="shared" si="46"/>
        <v>23160.609325386089</v>
      </c>
      <c r="AH26" s="44">
        <v>0</v>
      </c>
      <c r="AI26" s="17">
        <f t="shared" si="16"/>
        <v>0</v>
      </c>
      <c r="AJ26" s="17">
        <f t="shared" si="37"/>
        <v>49961.361636577632</v>
      </c>
      <c r="AK26" s="37">
        <f t="shared" si="38"/>
        <v>1153.8461538461538</v>
      </c>
      <c r="AL26" s="17">
        <f t="shared" si="46"/>
        <v>28846.153846153837</v>
      </c>
      <c r="AM26" s="37"/>
      <c r="AN26" s="23">
        <f t="shared" si="17"/>
        <v>2</v>
      </c>
      <c r="AO26" s="37"/>
      <c r="AP26" s="23">
        <f t="shared" si="18"/>
        <v>2</v>
      </c>
      <c r="AQ26" s="37"/>
      <c r="AR26" s="23">
        <f t="shared" si="19"/>
        <v>2</v>
      </c>
      <c r="AS26" s="17">
        <f t="shared" si="20"/>
        <v>4651.0405446946515</v>
      </c>
      <c r="AT26" s="17">
        <f t="shared" si="21"/>
        <v>110667.16802327948</v>
      </c>
      <c r="AU26" s="46">
        <f t="shared" si="39"/>
        <v>24800</v>
      </c>
      <c r="AV26" s="17">
        <f t="shared" si="22"/>
        <v>85867.168023279475</v>
      </c>
      <c r="AW26" s="17">
        <f t="shared" si="40"/>
        <v>11219.891984339682</v>
      </c>
      <c r="AX26" s="44">
        <f t="shared" si="41"/>
        <v>0.12</v>
      </c>
      <c r="AY26" s="22">
        <f t="shared" si="3"/>
        <v>0.22</v>
      </c>
      <c r="AZ26" s="12">
        <f t="shared" si="23"/>
        <v>0.24</v>
      </c>
    </row>
    <row r="27" spans="1:56" ht="18.75" thickBot="1" x14ac:dyDescent="0.4">
      <c r="A27" s="5">
        <f t="shared" si="24"/>
        <v>44181</v>
      </c>
      <c r="B27" s="37">
        <f t="shared" si="25"/>
        <v>222602.85561490618</v>
      </c>
      <c r="C27" s="18">
        <f t="shared" si="26"/>
        <v>0.14776447185706648</v>
      </c>
      <c r="D27" s="37">
        <f t="shared" si="27"/>
        <v>194867.20658565286</v>
      </c>
      <c r="E27" s="18">
        <f t="shared" si="28"/>
        <v>0.12935346127456732</v>
      </c>
      <c r="F27" s="37">
        <f t="shared" si="29"/>
        <v>1002753.8713787703</v>
      </c>
      <c r="G27" s="18">
        <f t="shared" si="30"/>
        <v>0.66563115642704607</v>
      </c>
      <c r="H27" s="38">
        <f t="shared" si="31"/>
        <v>86246.822328973984</v>
      </c>
      <c r="I27" s="18">
        <f t="shared" si="32"/>
        <v>5.7250910441320038E-2</v>
      </c>
      <c r="J27" s="17">
        <f t="shared" si="42"/>
        <v>1506470.7559083034</v>
      </c>
      <c r="K27" s="16">
        <f t="shared" si="44"/>
        <v>6676.2942350569647</v>
      </c>
      <c r="L27" s="18">
        <f t="shared" si="33"/>
        <v>4.4514727888837202E-3</v>
      </c>
      <c r="M27" s="19">
        <f t="shared" si="34"/>
        <v>26</v>
      </c>
      <c r="N27" s="50">
        <v>1E-3</v>
      </c>
      <c r="O27" s="29">
        <f t="shared" si="9"/>
        <v>6.0686969809635602E-2</v>
      </c>
      <c r="P27" s="17">
        <f t="shared" si="0"/>
        <v>91423.145282906131</v>
      </c>
      <c r="Q27" s="20">
        <f t="shared" si="43"/>
        <v>5.4559242616723826E-3</v>
      </c>
      <c r="R27" s="42">
        <f t="shared" si="35"/>
        <v>0.2</v>
      </c>
      <c r="S27" s="17">
        <f t="shared" si="10"/>
        <v>95334.370374355072</v>
      </c>
      <c r="T27" s="42">
        <f t="shared" si="45"/>
        <v>-0.2</v>
      </c>
      <c r="U27" s="17">
        <f t="shared" si="10"/>
        <v>63556.24691623672</v>
      </c>
      <c r="V27" s="42">
        <f t="shared" si="45"/>
        <v>-0.1</v>
      </c>
      <c r="W27" s="42">
        <f t="shared" si="12"/>
        <v>0.1</v>
      </c>
      <c r="X27" s="29">
        <f t="shared" si="13"/>
        <v>6.0686969809635602E-2</v>
      </c>
      <c r="Y27" s="21">
        <f t="shared" si="1"/>
        <v>2.3341142234475231E-3</v>
      </c>
      <c r="Z27" s="17">
        <f t="shared" si="2"/>
        <v>3516.2748185733126</v>
      </c>
      <c r="AA27" s="17">
        <f t="shared" si="46"/>
        <v>85331.288995698909</v>
      </c>
      <c r="AB27" s="44">
        <v>0.5</v>
      </c>
      <c r="AC27" s="17">
        <f t="shared" si="14"/>
        <v>1758.1374092866563</v>
      </c>
      <c r="AD27" s="17">
        <f t="shared" si="46"/>
        <v>10451.180624448545</v>
      </c>
      <c r="AE27" s="44">
        <v>0.5</v>
      </c>
      <c r="AF27" s="17">
        <f t="shared" si="15"/>
        <v>1758.1374092866563</v>
      </c>
      <c r="AG27" s="17">
        <f t="shared" si="46"/>
        <v>24918.746734672746</v>
      </c>
      <c r="AH27" s="44">
        <v>0</v>
      </c>
      <c r="AI27" s="17">
        <f t="shared" si="16"/>
        <v>0</v>
      </c>
      <c r="AJ27" s="17">
        <f t="shared" si="37"/>
        <v>49961.361636577632</v>
      </c>
      <c r="AK27" s="37">
        <f t="shared" si="38"/>
        <v>1153.8461538461538</v>
      </c>
      <c r="AL27" s="17">
        <f t="shared" si="46"/>
        <v>29999.999999999989</v>
      </c>
      <c r="AM27" s="37"/>
      <c r="AN27" s="23">
        <f t="shared" si="17"/>
        <v>2</v>
      </c>
      <c r="AO27" s="37"/>
      <c r="AP27" s="23">
        <f t="shared" si="18"/>
        <v>2</v>
      </c>
      <c r="AQ27" s="37"/>
      <c r="AR27" s="23">
        <f t="shared" si="19"/>
        <v>2</v>
      </c>
      <c r="AS27" s="17">
        <f t="shared" si="20"/>
        <v>4670.1209724194669</v>
      </c>
      <c r="AT27" s="17">
        <f t="shared" si="21"/>
        <v>115337.28899569894</v>
      </c>
      <c r="AU27" s="46">
        <f t="shared" si="39"/>
        <v>24800</v>
      </c>
      <c r="AV27" s="17">
        <f t="shared" si="22"/>
        <v>90537.288995698938</v>
      </c>
      <c r="AW27" s="17">
        <f t="shared" si="40"/>
        <v>12247.318598271964</v>
      </c>
      <c r="AX27" s="44">
        <f t="shared" si="41"/>
        <v>0.12</v>
      </c>
      <c r="AY27" s="22">
        <f t="shared" si="3"/>
        <v>0.22</v>
      </c>
      <c r="AZ27" s="12">
        <f t="shared" si="23"/>
        <v>0.24</v>
      </c>
    </row>
    <row r="28" spans="1:56" ht="18.75" thickBot="1" x14ac:dyDescent="0.4">
      <c r="A28" s="5">
        <f t="shared" si="24"/>
        <v>44195</v>
      </c>
      <c r="B28" s="37">
        <f t="shared" si="25"/>
        <v>225420.66725278401</v>
      </c>
      <c r="C28" s="18">
        <f t="shared" si="26"/>
        <v>0.14897243911324837</v>
      </c>
      <c r="D28" s="37">
        <f t="shared" si="27"/>
        <v>195787.57939214201</v>
      </c>
      <c r="E28" s="18">
        <f t="shared" si="28"/>
        <v>0.12938899350084299</v>
      </c>
      <c r="F28" s="37">
        <f t="shared" si="29"/>
        <v>1003957.0725931813</v>
      </c>
      <c r="G28" s="18">
        <f t="shared" si="30"/>
        <v>0.66347924390395774</v>
      </c>
      <c r="H28" s="38">
        <f t="shared" si="31"/>
        <v>88004.959738260644</v>
      </c>
      <c r="I28" s="18">
        <f t="shared" si="32"/>
        <v>5.815932348195102E-2</v>
      </c>
      <c r="J28" s="17">
        <f t="shared" si="42"/>
        <v>1513170.2789763678</v>
      </c>
      <c r="K28" s="16">
        <f t="shared" si="44"/>
        <v>6699.5230680643581</v>
      </c>
      <c r="L28" s="18">
        <f t="shared" si="33"/>
        <v>4.4471643686338829E-3</v>
      </c>
      <c r="M28" s="19">
        <f t="shared" si="34"/>
        <v>26</v>
      </c>
      <c r="N28" s="50">
        <v>1E-3</v>
      </c>
      <c r="O28" s="29">
        <f t="shared" si="9"/>
        <v>6.0747656779445228E-2</v>
      </c>
      <c r="P28" s="17">
        <f t="shared" si="0"/>
        <v>91921.548756113771</v>
      </c>
      <c r="Q28" s="20">
        <f t="shared" si="43"/>
        <v>5.4516115330023422E-3</v>
      </c>
      <c r="R28" s="42">
        <f t="shared" si="35"/>
        <v>0.2</v>
      </c>
      <c r="S28" s="17">
        <f t="shared" si="10"/>
        <v>95334.370374355072</v>
      </c>
      <c r="T28" s="42">
        <f t="shared" si="45"/>
        <v>-0.2</v>
      </c>
      <c r="U28" s="17">
        <f t="shared" si="10"/>
        <v>63556.24691623672</v>
      </c>
      <c r="V28" s="42">
        <f t="shared" si="45"/>
        <v>-0.1</v>
      </c>
      <c r="W28" s="42">
        <f t="shared" si="12"/>
        <v>0.1</v>
      </c>
      <c r="X28" s="29">
        <f t="shared" si="13"/>
        <v>6.0747656779445228E-2</v>
      </c>
      <c r="Y28" s="21">
        <f t="shared" si="1"/>
        <v>2.3364483376709703E-3</v>
      </c>
      <c r="Z28" s="17">
        <f t="shared" si="2"/>
        <v>3535.4441829274529</v>
      </c>
      <c r="AA28" s="17">
        <f t="shared" si="46"/>
        <v>88866.733178626368</v>
      </c>
      <c r="AB28" s="44">
        <v>0.5</v>
      </c>
      <c r="AC28" s="17">
        <f t="shared" si="14"/>
        <v>1767.7220914637264</v>
      </c>
      <c r="AD28" s="17">
        <f t="shared" si="46"/>
        <v>12218.902715912271</v>
      </c>
      <c r="AE28" s="44">
        <v>0.5</v>
      </c>
      <c r="AF28" s="17">
        <f t="shared" si="15"/>
        <v>1767.7220914637264</v>
      </c>
      <c r="AG28" s="17">
        <f t="shared" si="46"/>
        <v>26686.468826136472</v>
      </c>
      <c r="AH28" s="44">
        <v>0</v>
      </c>
      <c r="AI28" s="17">
        <f t="shared" si="16"/>
        <v>0</v>
      </c>
      <c r="AJ28" s="17">
        <f t="shared" si="37"/>
        <v>49961.361636577632</v>
      </c>
      <c r="AK28" s="47">
        <f t="shared" si="38"/>
        <v>1153.8461538461538</v>
      </c>
      <c r="AL28" s="17">
        <f t="shared" si="46"/>
        <v>31153.846153846142</v>
      </c>
      <c r="AM28" s="47"/>
      <c r="AN28" s="23">
        <f t="shared" si="17"/>
        <v>2</v>
      </c>
      <c r="AO28" s="47"/>
      <c r="AP28" s="23">
        <f t="shared" si="18"/>
        <v>2</v>
      </c>
      <c r="AQ28" s="47"/>
      <c r="AR28" s="23">
        <f t="shared" si="19"/>
        <v>2</v>
      </c>
      <c r="AS28" s="17">
        <f t="shared" si="20"/>
        <v>4689.2903367736071</v>
      </c>
      <c r="AT28" s="17">
        <f t="shared" si="21"/>
        <v>120026.57933247255</v>
      </c>
      <c r="AU28" s="46">
        <f t="shared" si="39"/>
        <v>24800</v>
      </c>
      <c r="AV28" s="17">
        <f t="shared" si="22"/>
        <v>95226.579332472553</v>
      </c>
      <c r="AW28" s="17">
        <f t="shared" si="40"/>
        <v>13278.962472362158</v>
      </c>
      <c r="AX28" s="44">
        <f t="shared" si="41"/>
        <v>0.12</v>
      </c>
      <c r="AY28" s="22">
        <f t="shared" si="3"/>
        <v>0.22</v>
      </c>
      <c r="AZ28" s="12">
        <f t="shared" si="23"/>
        <v>0.24</v>
      </c>
    </row>
    <row r="29" spans="1:56" ht="18.75" thickBot="1" x14ac:dyDescent="0.4">
      <c r="A29" s="51" t="s">
        <v>13</v>
      </c>
      <c r="Y29" s="52">
        <f>SUM(Y2:Y28)</f>
        <v>6.2171174835215025E-2</v>
      </c>
      <c r="Z29" s="31">
        <f>SUM(Z2:Z28)</f>
        <v>88866.733178626368</v>
      </c>
      <c r="AC29" s="27">
        <f>SUM(AC2:AC28)</f>
        <v>12218.902715912271</v>
      </c>
      <c r="AF29" s="31">
        <f>SUM(AF2:AF28)</f>
        <v>26686.468826136472</v>
      </c>
      <c r="AI29" s="31">
        <f>SUM(AI2:AI28)</f>
        <v>49961.361636577632</v>
      </c>
      <c r="AK29" s="27">
        <f>SUM(AK2:AK28)</f>
        <v>31153.846153846142</v>
      </c>
      <c r="AM29" s="31">
        <f>SUM(AM2:AM28)</f>
        <v>2</v>
      </c>
      <c r="AO29" s="31">
        <f>SUM(AO2:AO28)</f>
        <v>2</v>
      </c>
      <c r="AQ29" s="31">
        <f>SUM(AQ2:AQ28)</f>
        <v>2</v>
      </c>
      <c r="AS29" s="27">
        <f>SUM(AS2:AS28)</f>
        <v>120026.57933247252</v>
      </c>
    </row>
    <row r="31" spans="1:56" x14ac:dyDescent="0.3">
      <c r="BD31" s="1"/>
    </row>
    <row r="32" spans="1:56" x14ac:dyDescent="0.3">
      <c r="K32" s="28"/>
    </row>
  </sheetData>
  <conditionalFormatting sqref="AY2:AZ28">
    <cfRule type="cellIs" dxfId="9" priority="1" operator="greaterThan">
      <formula>$AX$2</formula>
    </cfRule>
    <cfRule type="cellIs" dxfId="8" priority="2" operator="greaterThan">
      <formula>"2$AS$2"</formula>
    </cfRule>
  </conditionalFormatting>
  <pageMargins left="0.75" right="0.75" top="0.75" bottom="0.5" header="0.5" footer="0.75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AC7A-4BBC-4987-B512-CB278A154DBB}">
  <sheetPr>
    <tabColor rgb="FF00B0F0"/>
  </sheetPr>
  <dimension ref="A1:BD32"/>
  <sheetViews>
    <sheetView workbookViewId="0"/>
  </sheetViews>
  <sheetFormatPr defaultColWidth="13.28515625" defaultRowHeight="16.5" x14ac:dyDescent="0.3"/>
  <cols>
    <col min="1" max="1" width="14" style="1" bestFit="1" customWidth="1"/>
    <col min="2" max="2" width="16.85546875" style="24" bestFit="1" customWidth="1"/>
    <col min="3" max="3" width="9.28515625" style="24" bestFit="1" customWidth="1"/>
    <col min="4" max="4" width="16.85546875" style="24" bestFit="1" customWidth="1"/>
    <col min="5" max="5" width="10.7109375" style="24" bestFit="1" customWidth="1"/>
    <col min="6" max="6" width="19.28515625" style="24" bestFit="1" customWidth="1"/>
    <col min="7" max="7" width="15.7109375" style="24" bestFit="1" customWidth="1"/>
    <col min="8" max="8" width="16.85546875" style="24" bestFit="1" customWidth="1"/>
    <col min="9" max="9" width="6.5703125" style="24" bestFit="1" customWidth="1"/>
    <col min="10" max="10" width="19.28515625" style="24" bestFit="1" customWidth="1"/>
    <col min="11" max="11" width="14.28515625" style="24" bestFit="1" customWidth="1"/>
    <col min="12" max="12" width="6.7109375" style="24" bestFit="1" customWidth="1"/>
    <col min="13" max="13" width="8.5703125" style="24" customWidth="1"/>
    <col min="14" max="14" width="7.7109375" style="24" bestFit="1" customWidth="1"/>
    <col min="15" max="15" width="13" style="24" bestFit="1" customWidth="1"/>
    <col min="16" max="16" width="16.85546875" style="24" bestFit="1" customWidth="1"/>
    <col min="17" max="17" width="13" style="24" bestFit="1" customWidth="1"/>
    <col min="18" max="18" width="9.140625" style="24" bestFit="1" customWidth="1"/>
    <col min="19" max="19" width="16.85546875" style="24" bestFit="1" customWidth="1"/>
    <col min="20" max="20" width="10.42578125" style="24" bestFit="1" customWidth="1"/>
    <col min="21" max="21" width="15.5703125" style="24" bestFit="1" customWidth="1"/>
    <col min="22" max="22" width="10.42578125" style="24" bestFit="1" customWidth="1"/>
    <col min="23" max="23" width="11" style="24" bestFit="1" customWidth="1"/>
    <col min="24" max="25" width="13.140625" style="24" bestFit="1" customWidth="1"/>
    <col min="26" max="27" width="16.85546875" style="24" bestFit="1" customWidth="1"/>
    <col min="28" max="28" width="7.7109375" style="24" bestFit="1" customWidth="1"/>
    <col min="29" max="30" width="15.5703125" style="24" bestFit="1" customWidth="1"/>
    <col min="31" max="31" width="7.28515625" style="24" bestFit="1" customWidth="1"/>
    <col min="32" max="33" width="15.5703125" style="24" bestFit="1" customWidth="1"/>
    <col min="34" max="34" width="7.140625" style="24" bestFit="1" customWidth="1"/>
    <col min="35" max="38" width="15.5703125" style="24" bestFit="1" customWidth="1"/>
    <col min="39" max="40" width="9.85546875" style="24" bestFit="1" customWidth="1"/>
    <col min="41" max="42" width="11.85546875" style="24" bestFit="1" customWidth="1"/>
    <col min="43" max="44" width="9.28515625" style="24" bestFit="1" customWidth="1"/>
    <col min="45" max="46" width="16.85546875" style="24" bestFit="1" customWidth="1"/>
    <col min="47" max="47" width="15.5703125" style="24" bestFit="1" customWidth="1"/>
    <col min="48" max="48" width="16.85546875" style="24" bestFit="1" customWidth="1"/>
    <col min="49" max="49" width="16.42578125" style="24" bestFit="1" customWidth="1"/>
    <col min="50" max="50" width="8.140625" style="24" bestFit="1" customWidth="1"/>
    <col min="51" max="52" width="5.5703125" style="24" bestFit="1" customWidth="1"/>
    <col min="53" max="53" width="8.42578125" style="24" customWidth="1"/>
    <col min="54" max="54" width="6" style="24" bestFit="1" customWidth="1"/>
    <col min="55" max="55" width="15.7109375" style="24" bestFit="1" customWidth="1"/>
    <col min="56" max="56" width="13.140625" style="24" bestFit="1" customWidth="1"/>
    <col min="57" max="57" width="23.85546875" style="1" bestFit="1" customWidth="1"/>
    <col min="58" max="16384" width="13.28515625" style="1"/>
  </cols>
  <sheetData>
    <row r="1" spans="1:56" s="2" customFormat="1" ht="54.75" thickBot="1" x14ac:dyDescent="0.35">
      <c r="A1" s="3" t="s">
        <v>5</v>
      </c>
      <c r="B1" s="3" t="s">
        <v>1</v>
      </c>
      <c r="C1" s="3" t="s">
        <v>1</v>
      </c>
      <c r="D1" s="3" t="s">
        <v>4</v>
      </c>
      <c r="E1" s="3" t="s">
        <v>4</v>
      </c>
      <c r="F1" s="3" t="s">
        <v>3</v>
      </c>
      <c r="G1" s="3" t="s">
        <v>3</v>
      </c>
      <c r="H1" s="3" t="s">
        <v>0</v>
      </c>
      <c r="I1" s="3" t="s">
        <v>0</v>
      </c>
      <c r="J1" s="3" t="s">
        <v>9</v>
      </c>
      <c r="K1" s="3" t="s">
        <v>11</v>
      </c>
      <c r="L1" s="3" t="s">
        <v>11</v>
      </c>
      <c r="M1" s="3" t="s">
        <v>31</v>
      </c>
      <c r="N1" s="3" t="s">
        <v>24</v>
      </c>
      <c r="O1" s="39" t="s">
        <v>15</v>
      </c>
      <c r="P1" s="3" t="s">
        <v>15</v>
      </c>
      <c r="Q1" s="3" t="s">
        <v>28</v>
      </c>
      <c r="R1" s="3" t="s">
        <v>16</v>
      </c>
      <c r="S1" s="3" t="s">
        <v>16</v>
      </c>
      <c r="T1" s="3" t="s">
        <v>17</v>
      </c>
      <c r="U1" s="3" t="s">
        <v>19</v>
      </c>
      <c r="V1" s="3" t="s">
        <v>29</v>
      </c>
      <c r="W1" s="3" t="s">
        <v>30</v>
      </c>
      <c r="X1" s="3" t="s">
        <v>18</v>
      </c>
      <c r="Y1" s="3" t="s">
        <v>32</v>
      </c>
      <c r="Z1" s="3" t="s">
        <v>10</v>
      </c>
      <c r="AA1" s="3" t="s">
        <v>27</v>
      </c>
      <c r="AB1" s="3" t="s">
        <v>7</v>
      </c>
      <c r="AC1" s="3" t="s">
        <v>7</v>
      </c>
      <c r="AD1" s="3" t="s">
        <v>26</v>
      </c>
      <c r="AE1" s="3" t="s">
        <v>39</v>
      </c>
      <c r="AF1" s="3" t="s">
        <v>39</v>
      </c>
      <c r="AG1" s="3" t="s">
        <v>40</v>
      </c>
      <c r="AH1" s="3" t="s">
        <v>41</v>
      </c>
      <c r="AI1" s="3" t="s">
        <v>41</v>
      </c>
      <c r="AJ1" s="3" t="s">
        <v>42</v>
      </c>
      <c r="AK1" s="3" t="s">
        <v>2</v>
      </c>
      <c r="AL1" s="3" t="s">
        <v>25</v>
      </c>
      <c r="AM1" s="3" t="s">
        <v>8</v>
      </c>
      <c r="AN1" s="3" t="s">
        <v>35</v>
      </c>
      <c r="AO1" s="3" t="s">
        <v>12</v>
      </c>
      <c r="AP1" s="3" t="s">
        <v>36</v>
      </c>
      <c r="AQ1" s="3" t="s">
        <v>37</v>
      </c>
      <c r="AR1" s="3" t="s">
        <v>37</v>
      </c>
      <c r="AS1" s="3" t="s">
        <v>64</v>
      </c>
      <c r="AT1" s="3" t="s">
        <v>33</v>
      </c>
      <c r="AU1" s="3" t="s">
        <v>38</v>
      </c>
      <c r="AV1" s="3" t="s">
        <v>34</v>
      </c>
      <c r="AW1" s="3" t="s">
        <v>63</v>
      </c>
      <c r="AX1" s="3" t="s">
        <v>6</v>
      </c>
      <c r="AY1" s="3" t="s">
        <v>22</v>
      </c>
      <c r="AZ1" s="3" t="s">
        <v>23</v>
      </c>
      <c r="BA1" s="6"/>
      <c r="BB1" s="3" t="s">
        <v>14</v>
      </c>
      <c r="BC1" s="3" t="s">
        <v>20</v>
      </c>
      <c r="BD1" s="3" t="s">
        <v>21</v>
      </c>
    </row>
    <row r="2" spans="1:56" s="4" customFormat="1" ht="18.75" thickBot="1" x14ac:dyDescent="0.4">
      <c r="A2" s="34">
        <v>44197</v>
      </c>
      <c r="B2" s="35">
        <f>'GK Cash Flow 2020'!B28</f>
        <v>225420.66725278401</v>
      </c>
      <c r="C2" s="10">
        <f>IF(J2&lt;=0,0,B2/J2)</f>
        <v>0.14897243911324837</v>
      </c>
      <c r="D2" s="35">
        <f>'GK Cash Flow 2020'!D28</f>
        <v>195787.57939214201</v>
      </c>
      <c r="E2" s="10">
        <f>IF(J2&lt;=0,0,D2/J2)</f>
        <v>0.12938899350084299</v>
      </c>
      <c r="F2" s="35">
        <f>'GK Cash Flow 2020'!F28</f>
        <v>1003957.0725931813</v>
      </c>
      <c r="G2" s="10">
        <f>IF(J2&lt;=0,0,F2/J2)</f>
        <v>0.66347924390395774</v>
      </c>
      <c r="H2" s="35">
        <f>'GK Cash Flow 2020'!H28</f>
        <v>88004.959738260644</v>
      </c>
      <c r="I2" s="10">
        <f>IF(J2&lt;=0,0,H2/J2)</f>
        <v>5.815932348195102E-2</v>
      </c>
      <c r="J2" s="9">
        <f>B2+D2+F2+H2</f>
        <v>1513170.2789763678</v>
      </c>
      <c r="K2" s="7">
        <v>0</v>
      </c>
      <c r="L2" s="10">
        <v>0</v>
      </c>
      <c r="M2" s="48">
        <v>26</v>
      </c>
      <c r="N2" s="49">
        <v>4.0000000000000001E-3</v>
      </c>
      <c r="O2" s="40">
        <f>'GK Cash Flow 2020'!Y29</f>
        <v>6.2171174835215025E-2</v>
      </c>
      <c r="P2" s="9">
        <f t="shared" ref="P2:P28" si="0">J2*O2</f>
        <v>94075.573969690857</v>
      </c>
      <c r="Q2" s="8">
        <v>0</v>
      </c>
      <c r="R2" s="41">
        <v>0.2</v>
      </c>
      <c r="S2" s="9">
        <f>IF($P$2&gt;0,$P$2+$P$2*R2)</f>
        <v>112890.68876362903</v>
      </c>
      <c r="T2" s="41">
        <v>-0.2</v>
      </c>
      <c r="U2" s="9">
        <f>IF($P$2&gt;0,$P$2+$P$2*T2)</f>
        <v>75260.45917575268</v>
      </c>
      <c r="V2" s="41">
        <v>-0.1</v>
      </c>
      <c r="W2" s="41">
        <v>0.1</v>
      </c>
      <c r="X2" s="30">
        <f>O2</f>
        <v>6.2171174835215025E-2</v>
      </c>
      <c r="Y2" s="11">
        <f t="shared" ref="Y2:Y28" si="1">X2/M2</f>
        <v>2.391199032123655E-3</v>
      </c>
      <c r="Z2" s="9">
        <f t="shared" ref="Z2:Z28" si="2">Y2*J2</f>
        <v>3618.2913065265716</v>
      </c>
      <c r="AA2" s="9">
        <f>Z2</f>
        <v>3618.2913065265716</v>
      </c>
      <c r="AB2" s="43">
        <v>0</v>
      </c>
      <c r="AC2" s="9">
        <f>Z2*AB2</f>
        <v>0</v>
      </c>
      <c r="AD2" s="9">
        <f>AC2</f>
        <v>0</v>
      </c>
      <c r="AE2" s="43">
        <v>0.3</v>
      </c>
      <c r="AF2" s="9">
        <f>Z2*AE2</f>
        <v>1085.4873919579713</v>
      </c>
      <c r="AG2" s="9">
        <f>AF2</f>
        <v>1085.4873919579713</v>
      </c>
      <c r="AH2" s="43">
        <v>0.7</v>
      </c>
      <c r="AI2" s="9">
        <f>Z2*AH2</f>
        <v>2532.8039145685998</v>
      </c>
      <c r="AJ2" s="9">
        <f>AI2</f>
        <v>2532.8039145685998</v>
      </c>
      <c r="AK2" s="36">
        <f>30000/M2</f>
        <v>1153.8461538461538</v>
      </c>
      <c r="AL2" s="9">
        <f>AK2</f>
        <v>1153.8461538461538</v>
      </c>
      <c r="AM2" s="36">
        <v>1</v>
      </c>
      <c r="AN2" s="13">
        <f>AM2</f>
        <v>1</v>
      </c>
      <c r="AO2" s="36">
        <v>1</v>
      </c>
      <c r="AP2" s="13">
        <f>AO2</f>
        <v>1</v>
      </c>
      <c r="AQ2" s="36">
        <v>1</v>
      </c>
      <c r="AR2" s="13">
        <f>AQ2</f>
        <v>1</v>
      </c>
      <c r="AS2" s="9">
        <f>Z2+AK2+AM2+AO2+AQ2</f>
        <v>4775.1374603727254</v>
      </c>
      <c r="AT2" s="9">
        <f>Z2+AK2+AM2+AO2+AQ2</f>
        <v>4775.1374603727254</v>
      </c>
      <c r="AU2" s="45">
        <v>25900</v>
      </c>
      <c r="AV2" s="9">
        <f>AT2-AU2</f>
        <v>-21124.862539627276</v>
      </c>
      <c r="AW2" s="9">
        <f>AS2*AY2</f>
        <v>0</v>
      </c>
      <c r="AX2" s="43">
        <v>0.12</v>
      </c>
      <c r="AY2" s="12">
        <f t="shared" ref="AY2:AY28" si="3">IF(AV2&lt;$BC$2,0,IF(AV2&lt;$BC$3,$BB$2,IF(AV2&lt;$BC$4,$BB$3,IF(AV2&lt;$BC$5,$BB$4,IF(AV2&lt;$BC$6,$BB$5,IF(AV2&lt;$BC$7,$BB$6,IF(AV2&lt;$BC$8,$BB$7,$BB$8)))))))</f>
        <v>0</v>
      </c>
      <c r="AZ2" s="12">
        <f t="shared" ref="AZ2:AZ28" si="4">IF(AV2&lt;$BD$2,0,IF(AV2&lt;$BD$3,$BB$2,IF(AV2&lt;$BD$4,$BB$3,IF(AV2&lt;$BD$5,$BB$4,IF(AV2&lt;$BD$6,$BB$5,IF(AV2&lt;$BD$7,$BB$6,IF(AV2&lt;$BD$8,$BB$7,$BB$8)))))))</f>
        <v>0</v>
      </c>
      <c r="BA2" s="14"/>
      <c r="BB2" s="12">
        <v>0.1</v>
      </c>
      <c r="BC2" s="15">
        <v>0</v>
      </c>
      <c r="BD2" s="15">
        <v>0</v>
      </c>
    </row>
    <row r="3" spans="1:56" ht="18.75" thickBot="1" x14ac:dyDescent="0.4">
      <c r="A3" s="5">
        <f>A2+FLOOR(365/$M$2,1)</f>
        <v>44211</v>
      </c>
      <c r="B3" s="37">
        <f>(B2+AC2)*(1+0.1255/M3)</f>
        <v>226508.75547356188</v>
      </c>
      <c r="C3" s="18">
        <f t="shared" ref="C3" si="5">IF(J3&lt;=0,0,B3/J3)</f>
        <v>0.14901458461490028</v>
      </c>
      <c r="D3" s="37">
        <f>D2*(1+0.1255/M3)</f>
        <v>196732.63097728486</v>
      </c>
      <c r="E3" s="18">
        <f t="shared" ref="E3" si="6">IF(J3&lt;=0,0,D3/J3)</f>
        <v>0.12942559868816345</v>
      </c>
      <c r="F3" s="37">
        <f>(F2-(AC2+AF2))*(1+0.1255/M3)</f>
        <v>1007712.3691990215</v>
      </c>
      <c r="G3" s="18">
        <f t="shared" ref="G3" si="7">IF(J3&lt;=0,0,F3/J3)</f>
        <v>0.66294938486391686</v>
      </c>
      <c r="H3" s="38">
        <f t="shared" ref="H3:H28" si="8">H2+AF2</f>
        <v>89090.447130218614</v>
      </c>
      <c r="I3" s="18">
        <f t="shared" ref="I3:I28" si="9">IF(J3&lt;=0,0,H3/J3)</f>
        <v>5.8610431833019415E-2</v>
      </c>
      <c r="J3" s="17">
        <f>B3+D3+F3+H3</f>
        <v>1520044.2027800868</v>
      </c>
      <c r="K3" s="16">
        <f>IF(J3=0,0,J3-J2)</f>
        <v>6873.9238037189934</v>
      </c>
      <c r="L3" s="18">
        <f>IF(J3=0,0,K3/J2)</f>
        <v>4.5427298561329646E-3</v>
      </c>
      <c r="M3" s="19">
        <f>M2</f>
        <v>26</v>
      </c>
      <c r="N3" s="49">
        <v>4.0000000000000001E-3</v>
      </c>
      <c r="O3" s="29">
        <f t="shared" ref="O3:O28" si="10">IF(J3=0,0,X2*(1+N3))</f>
        <v>6.2419859534555887E-2</v>
      </c>
      <c r="P3" s="17">
        <f t="shared" si="0"/>
        <v>94880.945623848995</v>
      </c>
      <c r="Q3" s="20">
        <f>IF(P3=0,0,(P3-P2)/P2)</f>
        <v>8.5609007755574427E-3</v>
      </c>
      <c r="R3" s="42">
        <f>R2</f>
        <v>0.2</v>
      </c>
      <c r="S3" s="17">
        <f t="shared" ref="S3:U28" si="11">IF($P$2&gt;0,$P$2+$P$2*R3)</f>
        <v>112890.68876362903</v>
      </c>
      <c r="T3" s="42">
        <f t="shared" ref="T3:V18" si="12">T2</f>
        <v>-0.2</v>
      </c>
      <c r="U3" s="17">
        <f t="shared" si="11"/>
        <v>75260.45917575268</v>
      </c>
      <c r="V3" s="42">
        <f t="shared" si="12"/>
        <v>-0.1</v>
      </c>
      <c r="W3" s="42">
        <f t="shared" ref="W3:W28" si="13">W2</f>
        <v>0.1</v>
      </c>
      <c r="X3" s="29">
        <f t="shared" ref="X3:X28" si="14">IF(P3&gt;S3,O3+O3*V3,IF(P3&lt;U3,O3+O3*W3,O3))</f>
        <v>6.2419859534555887E-2</v>
      </c>
      <c r="Y3" s="21">
        <f t="shared" si="1"/>
        <v>2.4007638282521494E-3</v>
      </c>
      <c r="Z3" s="17">
        <f t="shared" si="2"/>
        <v>3649.2671393788078</v>
      </c>
      <c r="AA3" s="17">
        <f>AA2+Z3</f>
        <v>7267.5584459053789</v>
      </c>
      <c r="AB3" s="44">
        <v>0</v>
      </c>
      <c r="AC3" s="17">
        <f t="shared" ref="AC3:AC28" si="15">Z3*AB3</f>
        <v>0</v>
      </c>
      <c r="AD3" s="17">
        <f>AD2+AC3</f>
        <v>0</v>
      </c>
      <c r="AE3" s="44">
        <v>0.3</v>
      </c>
      <c r="AF3" s="17">
        <f t="shared" ref="AF3:AF28" si="16">Z3*AE3</f>
        <v>1094.7801418136423</v>
      </c>
      <c r="AG3" s="17">
        <f>AG2+AF3</f>
        <v>2180.2675337716137</v>
      </c>
      <c r="AH3" s="44">
        <v>0.7</v>
      </c>
      <c r="AI3" s="17">
        <f t="shared" ref="AI3:AI28" si="17">Z3*AH3</f>
        <v>2554.4869975651654</v>
      </c>
      <c r="AJ3" s="17">
        <f>AJ2+AI3</f>
        <v>5087.2909121337652</v>
      </c>
      <c r="AK3" s="37">
        <f>AK2</f>
        <v>1153.8461538461538</v>
      </c>
      <c r="AL3" s="17">
        <f>AL2+AK3</f>
        <v>2307.6923076923076</v>
      </c>
      <c r="AM3" s="37">
        <v>1</v>
      </c>
      <c r="AN3" s="23">
        <f t="shared" ref="AN3:AN28" si="18">AN2+AM3</f>
        <v>2</v>
      </c>
      <c r="AO3" s="37">
        <v>1</v>
      </c>
      <c r="AP3" s="23">
        <f t="shared" ref="AP3:AP28" si="19">AP2+AO3</f>
        <v>2</v>
      </c>
      <c r="AQ3" s="37">
        <v>1</v>
      </c>
      <c r="AR3" s="23">
        <f t="shared" ref="AR3:AR28" si="20">AR2+AQ3</f>
        <v>2</v>
      </c>
      <c r="AS3" s="17">
        <f t="shared" ref="AS3:AS28" si="21">Z3+AK3+AM3+AO3+AQ3</f>
        <v>4806.113293224962</v>
      </c>
      <c r="AT3" s="17">
        <f t="shared" ref="AT3:AT28" si="22">AT2+Z3+AK3+AM3+AO3+AQ3</f>
        <v>9581.2507535976874</v>
      </c>
      <c r="AU3" s="46">
        <f>AU2</f>
        <v>25900</v>
      </c>
      <c r="AV3" s="17">
        <f t="shared" ref="AV3:AV28" si="23">AT3-AU3</f>
        <v>-16318.749246402313</v>
      </c>
      <c r="AW3" s="17">
        <f>AW2+(AS3*AY3)</f>
        <v>0</v>
      </c>
      <c r="AX3" s="44">
        <f>AX2</f>
        <v>0.12</v>
      </c>
      <c r="AY3" s="22">
        <f t="shared" si="3"/>
        <v>0</v>
      </c>
      <c r="AZ3" s="12">
        <f t="shared" si="4"/>
        <v>0</v>
      </c>
      <c r="BB3" s="22">
        <v>0.12</v>
      </c>
      <c r="BC3" s="25">
        <v>19901</v>
      </c>
      <c r="BD3" s="25">
        <v>9951</v>
      </c>
    </row>
    <row r="4" spans="1:56" ht="18.75" thickBot="1" x14ac:dyDescent="0.4">
      <c r="A4" s="5">
        <f t="shared" ref="A4:A28" si="24">A3+FLOOR(365/$M$2,1)</f>
        <v>44225</v>
      </c>
      <c r="B4" s="37">
        <f t="shared" ref="B4:B28" si="25">(B3+AC3)*(1+0.1255/M4)</f>
        <v>227602.09581248235</v>
      </c>
      <c r="C4" s="18">
        <f t="shared" ref="C4:C28" si="26">IF(J4&lt;=0,0,B4/J4)</f>
        <v>0.14905706719388376</v>
      </c>
      <c r="D4" s="37">
        <f t="shared" ref="D4:D28" si="27">D3*(1+0.1255/M4)</f>
        <v>197682.2442537329</v>
      </c>
      <c r="E4" s="18">
        <f t="shared" ref="E4:E28" si="28">IF(J4&lt;=0,0,D4/J4)</f>
        <v>0.12946249664169573</v>
      </c>
      <c r="F4" s="37">
        <f t="shared" ref="F4:F28" si="29">(F3-(AC3+AF3))*(1+0.1255/M4)</f>
        <v>1011476.4547274647</v>
      </c>
      <c r="G4" s="18">
        <f t="shared" ref="G4:G28" si="30">IF(J4&lt;=0,0,F4/J4)</f>
        <v>0.66241795067457587</v>
      </c>
      <c r="H4" s="38">
        <f t="shared" si="8"/>
        <v>90185.227272032251</v>
      </c>
      <c r="I4" s="18">
        <f t="shared" si="9"/>
        <v>5.9062485489844725E-2</v>
      </c>
      <c r="J4" s="17">
        <f>B4+D4+F4+H4</f>
        <v>1526946.0220657121</v>
      </c>
      <c r="K4" s="16">
        <f>IF(J4=0,0,J4-J3)</f>
        <v>6901.819285625359</v>
      </c>
      <c r="L4" s="18">
        <f t="shared" ref="L4:L28" si="31">IF(J4=0,0,K4/J3)</f>
        <v>4.5405385402623611E-3</v>
      </c>
      <c r="M4" s="19">
        <f t="shared" ref="M4:M28" si="32">M3</f>
        <v>26</v>
      </c>
      <c r="N4" s="49">
        <v>4.0000000000000001E-3</v>
      </c>
      <c r="O4" s="29">
        <f t="shared" si="10"/>
        <v>6.2669538972694117E-2</v>
      </c>
      <c r="P4" s="17">
        <f t="shared" si="0"/>
        <v>95693.003239047393</v>
      </c>
      <c r="Q4" s="20">
        <f>IF(P4=0,0,(P4-P3)/P3)</f>
        <v>8.5587006944235419E-3</v>
      </c>
      <c r="R4" s="42">
        <f t="shared" ref="R4:R28" si="33">R3</f>
        <v>0.2</v>
      </c>
      <c r="S4" s="17">
        <f t="shared" si="11"/>
        <v>112890.68876362903</v>
      </c>
      <c r="T4" s="42">
        <f t="shared" si="12"/>
        <v>-0.2</v>
      </c>
      <c r="U4" s="17">
        <f t="shared" si="11"/>
        <v>75260.45917575268</v>
      </c>
      <c r="V4" s="42">
        <f t="shared" si="12"/>
        <v>-0.1</v>
      </c>
      <c r="W4" s="42">
        <f t="shared" si="13"/>
        <v>0.1</v>
      </c>
      <c r="X4" s="29">
        <f t="shared" si="14"/>
        <v>6.2669538972694117E-2</v>
      </c>
      <c r="Y4" s="21">
        <f t="shared" si="1"/>
        <v>2.4103668835651583E-3</v>
      </c>
      <c r="Z4" s="17">
        <f t="shared" si="2"/>
        <v>3680.5001245787457</v>
      </c>
      <c r="AA4" s="17">
        <f t="shared" ref="AA4:AL19" si="34">AA3+Z4</f>
        <v>10948.058570484125</v>
      </c>
      <c r="AB4" s="44">
        <v>0</v>
      </c>
      <c r="AC4" s="17">
        <f t="shared" si="15"/>
        <v>0</v>
      </c>
      <c r="AD4" s="17">
        <f t="shared" si="34"/>
        <v>0</v>
      </c>
      <c r="AE4" s="44">
        <v>0.3</v>
      </c>
      <c r="AF4" s="17">
        <f t="shared" si="16"/>
        <v>1104.1500373736237</v>
      </c>
      <c r="AG4" s="17">
        <f t="shared" si="34"/>
        <v>3284.4175711452372</v>
      </c>
      <c r="AH4" s="44">
        <v>0.7</v>
      </c>
      <c r="AI4" s="17">
        <f t="shared" si="17"/>
        <v>2576.3500872051218</v>
      </c>
      <c r="AJ4" s="17">
        <f t="shared" ref="AJ4:AJ28" si="35">AJ3+AI4</f>
        <v>7663.640999338887</v>
      </c>
      <c r="AK4" s="37">
        <f t="shared" ref="AK4:AK28" si="36">AK3</f>
        <v>1153.8461538461538</v>
      </c>
      <c r="AL4" s="17">
        <f t="shared" si="34"/>
        <v>3461.5384615384614</v>
      </c>
      <c r="AM4" s="37"/>
      <c r="AN4" s="23">
        <f t="shared" si="18"/>
        <v>2</v>
      </c>
      <c r="AO4" s="37"/>
      <c r="AP4" s="23">
        <f t="shared" si="19"/>
        <v>2</v>
      </c>
      <c r="AQ4" s="37"/>
      <c r="AR4" s="23">
        <f t="shared" si="20"/>
        <v>2</v>
      </c>
      <c r="AS4" s="17">
        <f t="shared" si="21"/>
        <v>4834.3462784248995</v>
      </c>
      <c r="AT4" s="17">
        <f t="shared" si="22"/>
        <v>14415.597032022588</v>
      </c>
      <c r="AU4" s="46">
        <f t="shared" ref="AU4:AU28" si="37">AU3</f>
        <v>25900</v>
      </c>
      <c r="AV4" s="17">
        <f t="shared" si="23"/>
        <v>-11484.402967977412</v>
      </c>
      <c r="AW4" s="17">
        <f t="shared" ref="AW4:AW28" si="38">AW3+(AS4*AY4)</f>
        <v>0</v>
      </c>
      <c r="AX4" s="44">
        <f t="shared" ref="AX4:AX28" si="39">AX3</f>
        <v>0.12</v>
      </c>
      <c r="AY4" s="22">
        <f t="shared" si="3"/>
        <v>0</v>
      </c>
      <c r="AZ4" s="12">
        <f t="shared" si="4"/>
        <v>0</v>
      </c>
      <c r="BB4" s="22">
        <v>0.22</v>
      </c>
      <c r="BC4" s="25">
        <v>81051</v>
      </c>
      <c r="BD4" s="25">
        <v>40526</v>
      </c>
    </row>
    <row r="5" spans="1:56" ht="18.75" thickBot="1" x14ac:dyDescent="0.4">
      <c r="A5" s="5">
        <f t="shared" si="24"/>
        <v>44239</v>
      </c>
      <c r="B5" s="37">
        <f t="shared" si="25"/>
        <v>228700.71362111569</v>
      </c>
      <c r="C5" s="18">
        <f t="shared" si="26"/>
        <v>0.14909988781785613</v>
      </c>
      <c r="D5" s="37">
        <f t="shared" si="27"/>
        <v>198636.4412404192</v>
      </c>
      <c r="E5" s="18">
        <f t="shared" si="28"/>
        <v>0.12949968820189198</v>
      </c>
      <c r="F5" s="37">
        <f t="shared" si="29"/>
        <v>1015249.2940838836</v>
      </c>
      <c r="G5" s="18">
        <f t="shared" si="30"/>
        <v>0.66188493012681404</v>
      </c>
      <c r="H5" s="38">
        <f t="shared" si="8"/>
        <v>91289.377309405871</v>
      </c>
      <c r="I5" s="18">
        <f t="shared" si="9"/>
        <v>5.951549385343783E-2</v>
      </c>
      <c r="J5" s="17">
        <f t="shared" ref="J5:J28" si="40">B5+D5+F5+H5</f>
        <v>1533875.8262548244</v>
      </c>
      <c r="K5" s="16">
        <f>IF(J5=0,0,J5-J4)</f>
        <v>6929.8041891122703</v>
      </c>
      <c r="L5" s="18">
        <f t="shared" si="31"/>
        <v>4.5383426060715366E-3</v>
      </c>
      <c r="M5" s="19">
        <f t="shared" si="32"/>
        <v>26</v>
      </c>
      <c r="N5" s="50">
        <v>5.0000000000000001E-3</v>
      </c>
      <c r="O5" s="29">
        <f t="shared" si="10"/>
        <v>6.298288666755758E-2</v>
      </c>
      <c r="P5" s="17">
        <f t="shared" si="0"/>
        <v>96607.927327113852</v>
      </c>
      <c r="Q5" s="20">
        <f t="shared" ref="Q5:Q28" si="41">IF(P5=0,0,(P5-P4)/P4)</f>
        <v>9.5610343191018677E-3</v>
      </c>
      <c r="R5" s="42">
        <f t="shared" si="33"/>
        <v>0.2</v>
      </c>
      <c r="S5" s="17">
        <f t="shared" si="11"/>
        <v>112890.68876362903</v>
      </c>
      <c r="T5" s="42">
        <f t="shared" si="12"/>
        <v>-0.2</v>
      </c>
      <c r="U5" s="17">
        <f t="shared" si="11"/>
        <v>75260.45917575268</v>
      </c>
      <c r="V5" s="42">
        <f t="shared" si="12"/>
        <v>-0.1</v>
      </c>
      <c r="W5" s="42">
        <f t="shared" si="13"/>
        <v>0.1</v>
      </c>
      <c r="X5" s="29">
        <f t="shared" si="14"/>
        <v>6.298288666755758E-2</v>
      </c>
      <c r="Y5" s="21">
        <f t="shared" si="1"/>
        <v>2.4224187179829838E-3</v>
      </c>
      <c r="Z5" s="17">
        <f t="shared" si="2"/>
        <v>3715.6895125813016</v>
      </c>
      <c r="AA5" s="17">
        <f t="shared" si="34"/>
        <v>14663.748083065428</v>
      </c>
      <c r="AB5" s="44">
        <v>0</v>
      </c>
      <c r="AC5" s="17">
        <f t="shared" si="15"/>
        <v>0</v>
      </c>
      <c r="AD5" s="17">
        <f t="shared" si="34"/>
        <v>0</v>
      </c>
      <c r="AE5" s="44">
        <v>0.3</v>
      </c>
      <c r="AF5" s="17">
        <f t="shared" si="16"/>
        <v>1114.7068537743905</v>
      </c>
      <c r="AG5" s="17">
        <f t="shared" si="34"/>
        <v>4399.1244249196279</v>
      </c>
      <c r="AH5" s="44">
        <v>0.7</v>
      </c>
      <c r="AI5" s="17">
        <f t="shared" si="17"/>
        <v>2600.9826588069109</v>
      </c>
      <c r="AJ5" s="17">
        <f t="shared" si="35"/>
        <v>10264.623658145798</v>
      </c>
      <c r="AK5" s="37">
        <f t="shared" si="36"/>
        <v>1153.8461538461538</v>
      </c>
      <c r="AL5" s="17">
        <f t="shared" si="34"/>
        <v>4615.3846153846152</v>
      </c>
      <c r="AM5" s="37"/>
      <c r="AN5" s="23">
        <f t="shared" si="18"/>
        <v>2</v>
      </c>
      <c r="AO5" s="37"/>
      <c r="AP5" s="23">
        <f t="shared" si="19"/>
        <v>2</v>
      </c>
      <c r="AQ5" s="37"/>
      <c r="AR5" s="23">
        <f t="shared" si="20"/>
        <v>2</v>
      </c>
      <c r="AS5" s="17">
        <f t="shared" si="21"/>
        <v>4869.535666427455</v>
      </c>
      <c r="AT5" s="17">
        <f t="shared" si="22"/>
        <v>19285.132698450041</v>
      </c>
      <c r="AU5" s="46">
        <f t="shared" si="37"/>
        <v>25900</v>
      </c>
      <c r="AV5" s="17">
        <f t="shared" si="23"/>
        <v>-6614.8673015499589</v>
      </c>
      <c r="AW5" s="17">
        <f t="shared" si="38"/>
        <v>0</v>
      </c>
      <c r="AX5" s="44">
        <f t="shared" si="39"/>
        <v>0.12</v>
      </c>
      <c r="AY5" s="22">
        <f t="shared" si="3"/>
        <v>0</v>
      </c>
      <c r="AZ5" s="12">
        <f t="shared" si="4"/>
        <v>0</v>
      </c>
      <c r="BB5" s="22">
        <v>0.24</v>
      </c>
      <c r="BC5" s="25">
        <v>172751</v>
      </c>
      <c r="BD5" s="25">
        <v>86376</v>
      </c>
    </row>
    <row r="6" spans="1:56" ht="18.75" thickBot="1" x14ac:dyDescent="0.4">
      <c r="A6" s="5">
        <f t="shared" si="24"/>
        <v>44253</v>
      </c>
      <c r="B6" s="37">
        <f t="shared" si="25"/>
        <v>229804.63437340225</v>
      </c>
      <c r="C6" s="18">
        <f t="shared" si="26"/>
        <v>0.14914304798255024</v>
      </c>
      <c r="D6" s="37">
        <f t="shared" si="27"/>
        <v>199595.24406256046</v>
      </c>
      <c r="E6" s="18">
        <f t="shared" si="28"/>
        <v>0.12953717466786074</v>
      </c>
      <c r="F6" s="37">
        <f t="shared" si="29"/>
        <v>1019029.7368723162</v>
      </c>
      <c r="G6" s="18">
        <f t="shared" si="30"/>
        <v>0.66134959095317447</v>
      </c>
      <c r="H6" s="38">
        <f t="shared" si="8"/>
        <v>92404.084163180261</v>
      </c>
      <c r="I6" s="18">
        <f t="shared" si="9"/>
        <v>5.9970186396414452E-2</v>
      </c>
      <c r="J6" s="17">
        <f t="shared" si="40"/>
        <v>1540833.6994714593</v>
      </c>
      <c r="K6" s="16">
        <f t="shared" ref="K6:K28" si="42">IF(J6=0,0,J6-J5)</f>
        <v>6957.8732166348491</v>
      </c>
      <c r="L6" s="18">
        <f t="shared" si="31"/>
        <v>4.5361385175640223E-3</v>
      </c>
      <c r="M6" s="19">
        <f t="shared" si="32"/>
        <v>26</v>
      </c>
      <c r="N6" s="50">
        <v>5.0000000000000001E-3</v>
      </c>
      <c r="O6" s="29">
        <f t="shared" si="10"/>
        <v>6.3297801100895362E-2</v>
      </c>
      <c r="P6" s="17">
        <f t="shared" si="0"/>
        <v>97531.385038701206</v>
      </c>
      <c r="Q6" s="20">
        <f t="shared" si="41"/>
        <v>9.5588192101516908E-3</v>
      </c>
      <c r="R6" s="42">
        <f t="shared" si="33"/>
        <v>0.2</v>
      </c>
      <c r="S6" s="17">
        <f t="shared" si="11"/>
        <v>112890.68876362903</v>
      </c>
      <c r="T6" s="42">
        <f t="shared" si="12"/>
        <v>-0.2</v>
      </c>
      <c r="U6" s="17">
        <f t="shared" si="11"/>
        <v>75260.45917575268</v>
      </c>
      <c r="V6" s="42">
        <f t="shared" si="12"/>
        <v>-0.1</v>
      </c>
      <c r="W6" s="42">
        <f t="shared" si="13"/>
        <v>0.1</v>
      </c>
      <c r="X6" s="29">
        <f t="shared" si="14"/>
        <v>6.3297801100895362E-2</v>
      </c>
      <c r="Y6" s="21">
        <f t="shared" si="1"/>
        <v>2.4345308115728986E-3</v>
      </c>
      <c r="Z6" s="17">
        <f t="shared" si="2"/>
        <v>3751.2071168731236</v>
      </c>
      <c r="AA6" s="17">
        <f t="shared" si="34"/>
        <v>18414.955199938551</v>
      </c>
      <c r="AB6" s="44">
        <v>0</v>
      </c>
      <c r="AC6" s="17">
        <f t="shared" si="15"/>
        <v>0</v>
      </c>
      <c r="AD6" s="17">
        <f t="shared" si="34"/>
        <v>0</v>
      </c>
      <c r="AE6" s="44">
        <v>0.3</v>
      </c>
      <c r="AF6" s="17">
        <f t="shared" si="16"/>
        <v>1125.3621350619371</v>
      </c>
      <c r="AG6" s="17">
        <f t="shared" si="34"/>
        <v>5524.4865599815648</v>
      </c>
      <c r="AH6" s="44">
        <v>0.7</v>
      </c>
      <c r="AI6" s="17">
        <f t="shared" si="17"/>
        <v>2625.8449818111862</v>
      </c>
      <c r="AJ6" s="17">
        <f t="shared" si="35"/>
        <v>12890.468639956984</v>
      </c>
      <c r="AK6" s="37">
        <f t="shared" si="36"/>
        <v>1153.8461538461538</v>
      </c>
      <c r="AL6" s="17">
        <f t="shared" si="34"/>
        <v>5769.2307692307695</v>
      </c>
      <c r="AM6" s="37"/>
      <c r="AN6" s="23">
        <f t="shared" si="18"/>
        <v>2</v>
      </c>
      <c r="AO6" s="37"/>
      <c r="AP6" s="23">
        <f t="shared" si="19"/>
        <v>2</v>
      </c>
      <c r="AQ6" s="37"/>
      <c r="AR6" s="23">
        <f t="shared" si="20"/>
        <v>2</v>
      </c>
      <c r="AS6" s="17">
        <f t="shared" si="21"/>
        <v>4905.0532707192779</v>
      </c>
      <c r="AT6" s="17">
        <f t="shared" si="22"/>
        <v>24190.185969169317</v>
      </c>
      <c r="AU6" s="46">
        <f t="shared" si="37"/>
        <v>25900</v>
      </c>
      <c r="AV6" s="17">
        <f t="shared" si="23"/>
        <v>-1709.8140308306829</v>
      </c>
      <c r="AW6" s="17">
        <f>AW5+(AS6*AY6)</f>
        <v>0</v>
      </c>
      <c r="AX6" s="44">
        <f t="shared" si="39"/>
        <v>0.12</v>
      </c>
      <c r="AY6" s="22">
        <f t="shared" si="3"/>
        <v>0</v>
      </c>
      <c r="AZ6" s="12">
        <f t="shared" si="4"/>
        <v>0</v>
      </c>
      <c r="BB6" s="22">
        <v>0.32</v>
      </c>
      <c r="BC6" s="25">
        <v>329851</v>
      </c>
      <c r="BD6" s="25">
        <v>164926</v>
      </c>
    </row>
    <row r="7" spans="1:56" ht="18.75" thickBot="1" x14ac:dyDescent="0.4">
      <c r="A7" s="5">
        <f t="shared" si="24"/>
        <v>44267</v>
      </c>
      <c r="B7" s="37">
        <f t="shared" si="25"/>
        <v>230913.88366624311</v>
      </c>
      <c r="C7" s="18">
        <f t="shared" si="26"/>
        <v>0.14918654919668076</v>
      </c>
      <c r="D7" s="37">
        <f t="shared" si="27"/>
        <v>200558.67495217014</v>
      </c>
      <c r="E7" s="18">
        <f t="shared" si="28"/>
        <v>0.12957495734998581</v>
      </c>
      <c r="F7" s="37">
        <f t="shared" si="29"/>
        <v>1022817.7208537745</v>
      </c>
      <c r="G7" s="18">
        <f t="shared" si="30"/>
        <v>0.66081191745031242</v>
      </c>
      <c r="H7" s="38">
        <f t="shared" si="8"/>
        <v>93529.446298242197</v>
      </c>
      <c r="I7" s="18">
        <f t="shared" si="9"/>
        <v>6.0426576003021135E-2</v>
      </c>
      <c r="J7" s="17">
        <f t="shared" si="40"/>
        <v>1547819.7257704297</v>
      </c>
      <c r="K7" s="16">
        <f t="shared" si="42"/>
        <v>6986.0262989704497</v>
      </c>
      <c r="L7" s="18">
        <f t="shared" si="31"/>
        <v>4.5339262123919111E-3</v>
      </c>
      <c r="M7" s="19">
        <f t="shared" si="32"/>
        <v>26</v>
      </c>
      <c r="N7" s="50">
        <v>7.0000000000000001E-3</v>
      </c>
      <c r="O7" s="29">
        <f t="shared" si="10"/>
        <v>6.3740885708601619E-2</v>
      </c>
      <c r="P7" s="17">
        <f t="shared" si="0"/>
        <v>98659.400237852067</v>
      </c>
      <c r="Q7" s="20">
        <f t="shared" si="41"/>
        <v>1.1565663695878572E-2</v>
      </c>
      <c r="R7" s="42">
        <f t="shared" si="33"/>
        <v>0.2</v>
      </c>
      <c r="S7" s="17">
        <f t="shared" si="11"/>
        <v>112890.68876362903</v>
      </c>
      <c r="T7" s="42">
        <f t="shared" si="12"/>
        <v>-0.2</v>
      </c>
      <c r="U7" s="17">
        <f t="shared" si="11"/>
        <v>75260.45917575268</v>
      </c>
      <c r="V7" s="42">
        <f t="shared" si="12"/>
        <v>-0.1</v>
      </c>
      <c r="W7" s="42">
        <f t="shared" si="13"/>
        <v>0.1</v>
      </c>
      <c r="X7" s="29">
        <f t="shared" si="14"/>
        <v>6.3740885708601619E-2</v>
      </c>
      <c r="Y7" s="21">
        <f t="shared" si="1"/>
        <v>2.4515725272539085E-3</v>
      </c>
      <c r="Z7" s="17">
        <f t="shared" si="2"/>
        <v>3794.5923168404638</v>
      </c>
      <c r="AA7" s="17">
        <f t="shared" si="34"/>
        <v>22209.547516779014</v>
      </c>
      <c r="AB7" s="44">
        <v>0</v>
      </c>
      <c r="AC7" s="17">
        <f t="shared" si="15"/>
        <v>0</v>
      </c>
      <c r="AD7" s="17">
        <f t="shared" si="34"/>
        <v>0</v>
      </c>
      <c r="AE7" s="44">
        <v>0.3</v>
      </c>
      <c r="AF7" s="17">
        <f t="shared" si="16"/>
        <v>1138.3776950521392</v>
      </c>
      <c r="AG7" s="17">
        <f t="shared" si="34"/>
        <v>6662.8642550337045</v>
      </c>
      <c r="AH7" s="44">
        <v>0.7</v>
      </c>
      <c r="AI7" s="17">
        <f t="shared" si="17"/>
        <v>2656.2146217883246</v>
      </c>
      <c r="AJ7" s="17">
        <f t="shared" si="35"/>
        <v>15546.683261745307</v>
      </c>
      <c r="AK7" s="37">
        <f t="shared" si="36"/>
        <v>1153.8461538461538</v>
      </c>
      <c r="AL7" s="17">
        <f t="shared" si="34"/>
        <v>6923.0769230769238</v>
      </c>
      <c r="AM7" s="37"/>
      <c r="AN7" s="23">
        <f t="shared" si="18"/>
        <v>2</v>
      </c>
      <c r="AO7" s="37"/>
      <c r="AP7" s="23">
        <f t="shared" si="19"/>
        <v>2</v>
      </c>
      <c r="AQ7" s="37"/>
      <c r="AR7" s="23">
        <f t="shared" si="20"/>
        <v>2</v>
      </c>
      <c r="AS7" s="17">
        <f t="shared" si="21"/>
        <v>4948.4384706866176</v>
      </c>
      <c r="AT7" s="17">
        <f t="shared" si="22"/>
        <v>29138.624439855932</v>
      </c>
      <c r="AU7" s="46">
        <f t="shared" si="37"/>
        <v>25900</v>
      </c>
      <c r="AV7" s="17">
        <f t="shared" si="23"/>
        <v>3238.624439855932</v>
      </c>
      <c r="AW7" s="17">
        <f t="shared" si="38"/>
        <v>494.84384706866177</v>
      </c>
      <c r="AX7" s="44">
        <f t="shared" si="39"/>
        <v>0.12</v>
      </c>
      <c r="AY7" s="22">
        <f t="shared" si="3"/>
        <v>0.1</v>
      </c>
      <c r="AZ7" s="12">
        <f t="shared" si="4"/>
        <v>0.1</v>
      </c>
      <c r="BB7" s="22">
        <v>0.35</v>
      </c>
      <c r="BC7" s="25">
        <v>418851</v>
      </c>
      <c r="BD7" s="25">
        <v>209426</v>
      </c>
    </row>
    <row r="8" spans="1:56" ht="18.75" thickBot="1" x14ac:dyDescent="0.4">
      <c r="A8" s="5">
        <f t="shared" si="24"/>
        <v>44281</v>
      </c>
      <c r="B8" s="37">
        <f t="shared" si="25"/>
        <v>232028.48722009364</v>
      </c>
      <c r="C8" s="18">
        <f t="shared" si="26"/>
        <v>0.14923039402947341</v>
      </c>
      <c r="D8" s="37">
        <f t="shared" si="27"/>
        <v>201526.75624857389</v>
      </c>
      <c r="E8" s="18">
        <f t="shared" si="28"/>
        <v>0.12961303847975064</v>
      </c>
      <c r="F8" s="37">
        <f t="shared" si="29"/>
        <v>1026610.9107574307</v>
      </c>
      <c r="G8" s="18">
        <f t="shared" si="30"/>
        <v>0.66027043731904622</v>
      </c>
      <c r="H8" s="38">
        <f t="shared" si="8"/>
        <v>94667.82399329434</v>
      </c>
      <c r="I8" s="18">
        <f t="shared" si="9"/>
        <v>6.0886130171729745E-2</v>
      </c>
      <c r="J8" s="17">
        <f t="shared" si="40"/>
        <v>1554833.9782193925</v>
      </c>
      <c r="K8" s="16">
        <f t="shared" si="42"/>
        <v>7014.2524489627685</v>
      </c>
      <c r="L8" s="18">
        <f t="shared" si="31"/>
        <v>4.5316985771527195E-3</v>
      </c>
      <c r="M8" s="19">
        <f t="shared" si="32"/>
        <v>26</v>
      </c>
      <c r="N8" s="50">
        <v>7.0000000000000001E-3</v>
      </c>
      <c r="O8" s="29">
        <f t="shared" si="10"/>
        <v>6.4187071908561821E-2</v>
      </c>
      <c r="P8" s="17">
        <f t="shared" si="0"/>
        <v>99800.24036584339</v>
      </c>
      <c r="Q8" s="20">
        <f t="shared" si="41"/>
        <v>1.1563420467192581E-2</v>
      </c>
      <c r="R8" s="42">
        <f t="shared" si="33"/>
        <v>0.2</v>
      </c>
      <c r="S8" s="17">
        <f t="shared" si="11"/>
        <v>112890.68876362903</v>
      </c>
      <c r="T8" s="42">
        <f t="shared" si="12"/>
        <v>-0.2</v>
      </c>
      <c r="U8" s="17">
        <f t="shared" si="11"/>
        <v>75260.45917575268</v>
      </c>
      <c r="V8" s="42">
        <f t="shared" si="12"/>
        <v>-0.1</v>
      </c>
      <c r="W8" s="42">
        <f t="shared" si="13"/>
        <v>0.1</v>
      </c>
      <c r="X8" s="29">
        <f t="shared" si="14"/>
        <v>6.4187071908561821E-2</v>
      </c>
      <c r="Y8" s="21">
        <f t="shared" si="1"/>
        <v>2.4687335349446856E-3</v>
      </c>
      <c r="Z8" s="17">
        <f t="shared" si="2"/>
        <v>3838.4707833016691</v>
      </c>
      <c r="AA8" s="17">
        <f t="shared" si="34"/>
        <v>26048.018300080683</v>
      </c>
      <c r="AB8" s="44">
        <v>0</v>
      </c>
      <c r="AC8" s="17">
        <f t="shared" si="15"/>
        <v>0</v>
      </c>
      <c r="AD8" s="17">
        <f t="shared" si="34"/>
        <v>0</v>
      </c>
      <c r="AE8" s="44">
        <v>0.3</v>
      </c>
      <c r="AF8" s="17">
        <f t="shared" si="16"/>
        <v>1151.5412349905007</v>
      </c>
      <c r="AG8" s="17">
        <f t="shared" si="34"/>
        <v>7814.4054900242054</v>
      </c>
      <c r="AH8" s="44">
        <v>0.7</v>
      </c>
      <c r="AI8" s="17">
        <f t="shared" si="17"/>
        <v>2686.9295483111682</v>
      </c>
      <c r="AJ8" s="17">
        <f t="shared" si="35"/>
        <v>18233.612810056475</v>
      </c>
      <c r="AK8" s="37">
        <f t="shared" si="36"/>
        <v>1153.8461538461538</v>
      </c>
      <c r="AL8" s="17">
        <f t="shared" si="34"/>
        <v>8076.923076923078</v>
      </c>
      <c r="AM8" s="37"/>
      <c r="AN8" s="23">
        <f t="shared" si="18"/>
        <v>2</v>
      </c>
      <c r="AO8" s="37"/>
      <c r="AP8" s="23">
        <f t="shared" si="19"/>
        <v>2</v>
      </c>
      <c r="AQ8" s="37"/>
      <c r="AR8" s="23">
        <f t="shared" si="20"/>
        <v>2</v>
      </c>
      <c r="AS8" s="17">
        <f t="shared" si="21"/>
        <v>4992.3169371478234</v>
      </c>
      <c r="AT8" s="17">
        <f t="shared" si="22"/>
        <v>34130.941377003757</v>
      </c>
      <c r="AU8" s="46">
        <f t="shared" si="37"/>
        <v>25900</v>
      </c>
      <c r="AV8" s="17">
        <f t="shared" si="23"/>
        <v>8230.9413770037572</v>
      </c>
      <c r="AW8" s="17">
        <f t="shared" si="38"/>
        <v>994.07554078344413</v>
      </c>
      <c r="AX8" s="44">
        <f t="shared" si="39"/>
        <v>0.12</v>
      </c>
      <c r="AY8" s="22">
        <f t="shared" si="3"/>
        <v>0.1</v>
      </c>
      <c r="AZ8" s="12">
        <f t="shared" si="4"/>
        <v>0.1</v>
      </c>
      <c r="BB8" s="22">
        <v>0.37</v>
      </c>
      <c r="BC8" s="25">
        <v>628300</v>
      </c>
      <c r="BD8" s="25">
        <v>523600</v>
      </c>
    </row>
    <row r="9" spans="1:56" ht="18.75" thickBot="1" x14ac:dyDescent="0.4">
      <c r="A9" s="5">
        <f t="shared" si="24"/>
        <v>44295</v>
      </c>
      <c r="B9" s="37">
        <f t="shared" si="25"/>
        <v>233148.47087955987</v>
      </c>
      <c r="C9" s="18">
        <f t="shared" si="26"/>
        <v>0.14927458507270977</v>
      </c>
      <c r="D9" s="37">
        <f t="shared" si="27"/>
        <v>202499.51039892758</v>
      </c>
      <c r="E9" s="18">
        <f t="shared" si="28"/>
        <v>0.12965142030822938</v>
      </c>
      <c r="F9" s="37">
        <f t="shared" si="29"/>
        <v>1030409.1830176351</v>
      </c>
      <c r="G9" s="18">
        <f t="shared" si="30"/>
        <v>0.65972512137780537</v>
      </c>
      <c r="H9" s="38">
        <f t="shared" si="8"/>
        <v>95819.365228284834</v>
      </c>
      <c r="I9" s="18">
        <f t="shared" si="9"/>
        <v>6.1348873241255437E-2</v>
      </c>
      <c r="J9" s="17">
        <f t="shared" si="40"/>
        <v>1561876.5295244076</v>
      </c>
      <c r="K9" s="16">
        <f t="shared" si="42"/>
        <v>7042.5513050151058</v>
      </c>
      <c r="L9" s="18">
        <f t="shared" si="31"/>
        <v>4.529455494071649E-3</v>
      </c>
      <c r="M9" s="19">
        <f t="shared" si="32"/>
        <v>26</v>
      </c>
      <c r="N9" s="50">
        <v>8.0000000000000002E-3</v>
      </c>
      <c r="O9" s="29">
        <f t="shared" si="10"/>
        <v>6.4700568483830323E-2</v>
      </c>
      <c r="P9" s="17">
        <f t="shared" si="0"/>
        <v>101054.29936178116</v>
      </c>
      <c r="Q9" s="20">
        <f t="shared" si="41"/>
        <v>1.2565691138024252E-2</v>
      </c>
      <c r="R9" s="42">
        <f t="shared" si="33"/>
        <v>0.2</v>
      </c>
      <c r="S9" s="17">
        <f t="shared" si="11"/>
        <v>112890.68876362903</v>
      </c>
      <c r="T9" s="42">
        <f t="shared" si="12"/>
        <v>-0.2</v>
      </c>
      <c r="U9" s="17">
        <f t="shared" si="11"/>
        <v>75260.45917575268</v>
      </c>
      <c r="V9" s="42">
        <f t="shared" si="12"/>
        <v>-0.1</v>
      </c>
      <c r="W9" s="42">
        <f t="shared" si="13"/>
        <v>0.1</v>
      </c>
      <c r="X9" s="29">
        <f t="shared" si="14"/>
        <v>6.4700568483830323E-2</v>
      </c>
      <c r="Y9" s="21">
        <f t="shared" si="1"/>
        <v>2.4884834032242432E-3</v>
      </c>
      <c r="Z9" s="17">
        <f t="shared" si="2"/>
        <v>3886.7038216069677</v>
      </c>
      <c r="AA9" s="17">
        <f t="shared" si="34"/>
        <v>29934.72212168765</v>
      </c>
      <c r="AB9" s="44">
        <v>0</v>
      </c>
      <c r="AC9" s="17">
        <f t="shared" si="15"/>
        <v>0</v>
      </c>
      <c r="AD9" s="17">
        <f t="shared" si="34"/>
        <v>0</v>
      </c>
      <c r="AE9" s="44">
        <v>0.3</v>
      </c>
      <c r="AF9" s="17">
        <f t="shared" si="16"/>
        <v>1166.0111464820902</v>
      </c>
      <c r="AG9" s="17">
        <f t="shared" si="34"/>
        <v>8980.4166365062956</v>
      </c>
      <c r="AH9" s="44">
        <v>0.7</v>
      </c>
      <c r="AI9" s="17">
        <f t="shared" si="17"/>
        <v>2720.692675124877</v>
      </c>
      <c r="AJ9" s="17">
        <f t="shared" si="35"/>
        <v>20954.30548518135</v>
      </c>
      <c r="AK9" s="37">
        <f t="shared" si="36"/>
        <v>1153.8461538461538</v>
      </c>
      <c r="AL9" s="17">
        <f t="shared" si="34"/>
        <v>9230.7692307692323</v>
      </c>
      <c r="AM9" s="37"/>
      <c r="AN9" s="23">
        <f t="shared" si="18"/>
        <v>2</v>
      </c>
      <c r="AO9" s="37"/>
      <c r="AP9" s="23">
        <f t="shared" si="19"/>
        <v>2</v>
      </c>
      <c r="AQ9" s="37"/>
      <c r="AR9" s="23">
        <f t="shared" si="20"/>
        <v>2</v>
      </c>
      <c r="AS9" s="17">
        <f t="shared" si="21"/>
        <v>5040.5499754531211</v>
      </c>
      <c r="AT9" s="17">
        <f t="shared" si="22"/>
        <v>39171.491352456884</v>
      </c>
      <c r="AU9" s="46">
        <f t="shared" si="37"/>
        <v>25900</v>
      </c>
      <c r="AV9" s="17">
        <f t="shared" si="23"/>
        <v>13271.491352456884</v>
      </c>
      <c r="AW9" s="17">
        <f t="shared" si="38"/>
        <v>1498.1305383287563</v>
      </c>
      <c r="AX9" s="44">
        <f t="shared" si="39"/>
        <v>0.12</v>
      </c>
      <c r="AY9" s="22">
        <f t="shared" si="3"/>
        <v>0.1</v>
      </c>
      <c r="AZ9" s="12">
        <f t="shared" si="4"/>
        <v>0.12</v>
      </c>
    </row>
    <row r="10" spans="1:56" ht="18.75" thickBot="1" x14ac:dyDescent="0.4">
      <c r="A10" s="5">
        <f t="shared" si="24"/>
        <v>44309</v>
      </c>
      <c r="B10" s="37">
        <f t="shared" si="25"/>
        <v>234273.86061399776</v>
      </c>
      <c r="C10" s="18">
        <f t="shared" si="26"/>
        <v>0.14931912547234308</v>
      </c>
      <c r="D10" s="37">
        <f t="shared" si="27"/>
        <v>203476.9599587378</v>
      </c>
      <c r="E10" s="18">
        <f t="shared" si="28"/>
        <v>0.12969010556781821</v>
      </c>
      <c r="F10" s="37">
        <f t="shared" si="29"/>
        <v>1034211.2494892235</v>
      </c>
      <c r="G10" s="18">
        <f t="shared" si="30"/>
        <v>0.65917520171758803</v>
      </c>
      <c r="H10" s="38">
        <f t="shared" si="8"/>
        <v>96985.376374766929</v>
      </c>
      <c r="I10" s="18">
        <f t="shared" si="9"/>
        <v>6.181556724225068E-2</v>
      </c>
      <c r="J10" s="17">
        <f t="shared" si="40"/>
        <v>1568947.446436726</v>
      </c>
      <c r="K10" s="16">
        <f t="shared" si="42"/>
        <v>7070.9169123184402</v>
      </c>
      <c r="L10" s="18">
        <f t="shared" si="31"/>
        <v>4.5271932695419518E-3</v>
      </c>
      <c r="M10" s="19">
        <f t="shared" si="32"/>
        <v>26</v>
      </c>
      <c r="N10" s="50">
        <v>8.0000000000000002E-3</v>
      </c>
      <c r="O10" s="29">
        <f t="shared" si="10"/>
        <v>6.5218173031700966E-2</v>
      </c>
      <c r="P10" s="17">
        <f t="shared" si="0"/>
        <v>102323.88603935578</v>
      </c>
      <c r="Q10" s="20">
        <f t="shared" si="41"/>
        <v>1.25634108156984E-2</v>
      </c>
      <c r="R10" s="42">
        <f t="shared" si="33"/>
        <v>0.2</v>
      </c>
      <c r="S10" s="17">
        <f t="shared" si="11"/>
        <v>112890.68876362903</v>
      </c>
      <c r="T10" s="42">
        <f t="shared" si="12"/>
        <v>-0.2</v>
      </c>
      <c r="U10" s="17">
        <f t="shared" si="11"/>
        <v>75260.45917575268</v>
      </c>
      <c r="V10" s="42">
        <f t="shared" si="12"/>
        <v>-0.1</v>
      </c>
      <c r="W10" s="42">
        <f t="shared" si="13"/>
        <v>0.1</v>
      </c>
      <c r="X10" s="29">
        <f t="shared" si="14"/>
        <v>6.5218173031700966E-2</v>
      </c>
      <c r="Y10" s="21">
        <f t="shared" si="1"/>
        <v>2.5083912704500369E-3</v>
      </c>
      <c r="Z10" s="17">
        <f t="shared" si="2"/>
        <v>3935.5340784367604</v>
      </c>
      <c r="AA10" s="17">
        <f t="shared" si="34"/>
        <v>33870.256200124408</v>
      </c>
      <c r="AB10" s="44">
        <v>0</v>
      </c>
      <c r="AC10" s="17">
        <f t="shared" si="15"/>
        <v>0</v>
      </c>
      <c r="AD10" s="17">
        <f t="shared" si="34"/>
        <v>0</v>
      </c>
      <c r="AE10" s="44">
        <v>0.3</v>
      </c>
      <c r="AF10" s="17">
        <f t="shared" si="16"/>
        <v>1180.6602235310281</v>
      </c>
      <c r="AG10" s="17">
        <f t="shared" si="34"/>
        <v>10161.076860037323</v>
      </c>
      <c r="AH10" s="44">
        <v>0.7</v>
      </c>
      <c r="AI10" s="17">
        <f t="shared" si="17"/>
        <v>2754.8738549057321</v>
      </c>
      <c r="AJ10" s="17">
        <f t="shared" si="35"/>
        <v>23709.179340087081</v>
      </c>
      <c r="AK10" s="37">
        <f t="shared" si="36"/>
        <v>1153.8461538461538</v>
      </c>
      <c r="AL10" s="17">
        <f t="shared" si="34"/>
        <v>10384.615384615387</v>
      </c>
      <c r="AM10" s="37"/>
      <c r="AN10" s="23">
        <f t="shared" si="18"/>
        <v>2</v>
      </c>
      <c r="AO10" s="37"/>
      <c r="AP10" s="23">
        <f t="shared" si="19"/>
        <v>2</v>
      </c>
      <c r="AQ10" s="37"/>
      <c r="AR10" s="23">
        <f t="shared" si="20"/>
        <v>2</v>
      </c>
      <c r="AS10" s="17">
        <f t="shared" si="21"/>
        <v>5089.3802322829142</v>
      </c>
      <c r="AT10" s="17">
        <f t="shared" si="22"/>
        <v>44260.871584739798</v>
      </c>
      <c r="AU10" s="46">
        <f t="shared" si="37"/>
        <v>25900</v>
      </c>
      <c r="AV10" s="17">
        <f t="shared" si="23"/>
        <v>18360.871584739798</v>
      </c>
      <c r="AW10" s="17">
        <f t="shared" si="38"/>
        <v>2007.0685615570478</v>
      </c>
      <c r="AX10" s="44">
        <f t="shared" si="39"/>
        <v>0.12</v>
      </c>
      <c r="AY10" s="22">
        <f t="shared" si="3"/>
        <v>0.1</v>
      </c>
      <c r="AZ10" s="12">
        <f t="shared" si="4"/>
        <v>0.12</v>
      </c>
    </row>
    <row r="11" spans="1:56" ht="18.75" thickBot="1" x14ac:dyDescent="0.4">
      <c r="A11" s="5">
        <f t="shared" si="24"/>
        <v>44323</v>
      </c>
      <c r="B11" s="37">
        <f t="shared" si="25"/>
        <v>235404.68251811533</v>
      </c>
      <c r="C11" s="18">
        <f t="shared" si="26"/>
        <v>0.14936401840370012</v>
      </c>
      <c r="D11" s="37">
        <f t="shared" si="27"/>
        <v>204459.12759238479</v>
      </c>
      <c r="E11" s="18">
        <f t="shared" si="28"/>
        <v>0.12972909701642552</v>
      </c>
      <c r="F11" s="37">
        <f t="shared" si="29"/>
        <v>1038016.9484561865</v>
      </c>
      <c r="G11" s="18">
        <f t="shared" si="30"/>
        <v>0.65862063971744211</v>
      </c>
      <c r="H11" s="38">
        <f t="shared" si="8"/>
        <v>98166.036598297957</v>
      </c>
      <c r="I11" s="18">
        <f t="shared" si="9"/>
        <v>6.2286244862432331E-2</v>
      </c>
      <c r="J11" s="17">
        <f t="shared" si="40"/>
        <v>1576046.7951649844</v>
      </c>
      <c r="K11" s="16">
        <f t="shared" si="42"/>
        <v>7099.3487282583956</v>
      </c>
      <c r="L11" s="18">
        <f t="shared" si="31"/>
        <v>4.5249117453754718E-3</v>
      </c>
      <c r="M11" s="19">
        <f t="shared" si="32"/>
        <v>26</v>
      </c>
      <c r="N11" s="50">
        <v>8.0000000000000002E-3</v>
      </c>
      <c r="O11" s="29">
        <f t="shared" si="10"/>
        <v>6.5739918415954571E-2</v>
      </c>
      <c r="P11" s="17">
        <f t="shared" si="0"/>
        <v>103609.18773387274</v>
      </c>
      <c r="Q11" s="20">
        <f t="shared" si="41"/>
        <v>1.2561111039338348E-2</v>
      </c>
      <c r="R11" s="42">
        <f t="shared" si="33"/>
        <v>0.2</v>
      </c>
      <c r="S11" s="17">
        <f t="shared" si="11"/>
        <v>112890.68876362903</v>
      </c>
      <c r="T11" s="42">
        <f t="shared" si="12"/>
        <v>-0.2</v>
      </c>
      <c r="U11" s="17">
        <f t="shared" si="11"/>
        <v>75260.45917575268</v>
      </c>
      <c r="V11" s="42">
        <f t="shared" si="12"/>
        <v>-0.1</v>
      </c>
      <c r="W11" s="42">
        <f t="shared" si="13"/>
        <v>0.1</v>
      </c>
      <c r="X11" s="29">
        <f t="shared" si="14"/>
        <v>6.5739918415954571E-2</v>
      </c>
      <c r="Y11" s="21">
        <f t="shared" si="1"/>
        <v>2.5284584006136372E-3</v>
      </c>
      <c r="Z11" s="17">
        <f t="shared" si="2"/>
        <v>3984.9687589951054</v>
      </c>
      <c r="AA11" s="17">
        <f t="shared" si="34"/>
        <v>37855.224959119514</v>
      </c>
      <c r="AB11" s="44">
        <v>0</v>
      </c>
      <c r="AC11" s="17">
        <f t="shared" si="15"/>
        <v>0</v>
      </c>
      <c r="AD11" s="17">
        <f t="shared" si="34"/>
        <v>0</v>
      </c>
      <c r="AE11" s="44">
        <v>0.3</v>
      </c>
      <c r="AF11" s="17">
        <f t="shared" si="16"/>
        <v>1195.4906276985316</v>
      </c>
      <c r="AG11" s="17">
        <f t="shared" si="34"/>
        <v>11356.567487735854</v>
      </c>
      <c r="AH11" s="44">
        <v>0.7</v>
      </c>
      <c r="AI11" s="17">
        <f t="shared" si="17"/>
        <v>2789.4781312965738</v>
      </c>
      <c r="AJ11" s="17">
        <f t="shared" si="35"/>
        <v>26498.657471383656</v>
      </c>
      <c r="AK11" s="37">
        <f t="shared" si="36"/>
        <v>1153.8461538461538</v>
      </c>
      <c r="AL11" s="17">
        <f t="shared" si="34"/>
        <v>11538.461538461541</v>
      </c>
      <c r="AM11" s="37"/>
      <c r="AN11" s="23">
        <f t="shared" si="18"/>
        <v>2</v>
      </c>
      <c r="AO11" s="37"/>
      <c r="AP11" s="23">
        <f t="shared" si="19"/>
        <v>2</v>
      </c>
      <c r="AQ11" s="37"/>
      <c r="AR11" s="23">
        <f t="shared" si="20"/>
        <v>2</v>
      </c>
      <c r="AS11" s="17">
        <f t="shared" si="21"/>
        <v>5138.8149128412588</v>
      </c>
      <c r="AT11" s="17">
        <f t="shared" si="22"/>
        <v>49399.68649758106</v>
      </c>
      <c r="AU11" s="46">
        <f t="shared" si="37"/>
        <v>25900</v>
      </c>
      <c r="AV11" s="17">
        <f t="shared" si="23"/>
        <v>23499.68649758106</v>
      </c>
      <c r="AW11" s="17">
        <f t="shared" si="38"/>
        <v>2623.7263510979988</v>
      </c>
      <c r="AX11" s="44">
        <f t="shared" si="39"/>
        <v>0.12</v>
      </c>
      <c r="AY11" s="22">
        <f t="shared" si="3"/>
        <v>0.12</v>
      </c>
      <c r="AZ11" s="12">
        <f t="shared" si="4"/>
        <v>0.12</v>
      </c>
    </row>
    <row r="12" spans="1:56" ht="18.75" thickBot="1" x14ac:dyDescent="0.4">
      <c r="A12" s="5">
        <f t="shared" si="24"/>
        <v>44337</v>
      </c>
      <c r="B12" s="37">
        <f t="shared" si="25"/>
        <v>236540.96281257778</v>
      </c>
      <c r="C12" s="18">
        <f t="shared" si="26"/>
        <v>0.1494092670717993</v>
      </c>
      <c r="D12" s="37">
        <f t="shared" si="27"/>
        <v>205446.03607364805</v>
      </c>
      <c r="E12" s="18">
        <f t="shared" si="28"/>
        <v>0.12976839743774812</v>
      </c>
      <c r="F12" s="37">
        <f t="shared" si="29"/>
        <v>1041826.1152499294</v>
      </c>
      <c r="G12" s="18">
        <f t="shared" si="30"/>
        <v>0.65806139640636863</v>
      </c>
      <c r="H12" s="38">
        <f t="shared" si="8"/>
        <v>99361.527225996484</v>
      </c>
      <c r="I12" s="18">
        <f t="shared" si="9"/>
        <v>6.2760939084083978E-2</v>
      </c>
      <c r="J12" s="17">
        <f t="shared" si="40"/>
        <v>1583174.6413621516</v>
      </c>
      <c r="K12" s="16">
        <f t="shared" si="42"/>
        <v>7127.8461971671786</v>
      </c>
      <c r="L12" s="18">
        <f t="shared" si="31"/>
        <v>4.5226107619609213E-3</v>
      </c>
      <c r="M12" s="19">
        <f t="shared" si="32"/>
        <v>26</v>
      </c>
      <c r="N12" s="50">
        <v>8.0000000000000002E-3</v>
      </c>
      <c r="O12" s="29">
        <f t="shared" si="10"/>
        <v>6.6265837763282209E-2</v>
      </c>
      <c r="P12" s="17">
        <f t="shared" si="0"/>
        <v>104910.39393544683</v>
      </c>
      <c r="Q12" s="20">
        <f t="shared" si="41"/>
        <v>1.2558791648056664E-2</v>
      </c>
      <c r="R12" s="42">
        <f t="shared" si="33"/>
        <v>0.2</v>
      </c>
      <c r="S12" s="17">
        <f t="shared" si="11"/>
        <v>112890.68876362903</v>
      </c>
      <c r="T12" s="42">
        <f t="shared" si="12"/>
        <v>-0.2</v>
      </c>
      <c r="U12" s="17">
        <f t="shared" si="11"/>
        <v>75260.45917575268</v>
      </c>
      <c r="V12" s="42">
        <f t="shared" si="12"/>
        <v>-0.1</v>
      </c>
      <c r="W12" s="42">
        <f t="shared" si="13"/>
        <v>0.1</v>
      </c>
      <c r="X12" s="29">
        <f t="shared" si="14"/>
        <v>6.6265837763282209E-2</v>
      </c>
      <c r="Y12" s="21">
        <f t="shared" si="1"/>
        <v>2.5486860678185464E-3</v>
      </c>
      <c r="Z12" s="17">
        <f t="shared" si="2"/>
        <v>4035.0151513633396</v>
      </c>
      <c r="AA12" s="17">
        <f t="shared" si="34"/>
        <v>41890.240110482853</v>
      </c>
      <c r="AB12" s="44">
        <v>0</v>
      </c>
      <c r="AC12" s="17">
        <f t="shared" si="15"/>
        <v>0</v>
      </c>
      <c r="AD12" s="17">
        <f t="shared" si="34"/>
        <v>0</v>
      </c>
      <c r="AE12" s="44">
        <v>0.3</v>
      </c>
      <c r="AF12" s="17">
        <f t="shared" si="16"/>
        <v>1210.5045454090018</v>
      </c>
      <c r="AG12" s="17">
        <f t="shared" si="34"/>
        <v>12567.072033144856</v>
      </c>
      <c r="AH12" s="44">
        <v>0.7</v>
      </c>
      <c r="AI12" s="17">
        <f t="shared" si="17"/>
        <v>2824.5106059543377</v>
      </c>
      <c r="AJ12" s="17">
        <f t="shared" si="35"/>
        <v>29323.168077337992</v>
      </c>
      <c r="AK12" s="37">
        <f t="shared" si="36"/>
        <v>1153.8461538461538</v>
      </c>
      <c r="AL12" s="17">
        <f t="shared" si="34"/>
        <v>12692.307692307695</v>
      </c>
      <c r="AM12" s="37"/>
      <c r="AN12" s="23">
        <f t="shared" si="18"/>
        <v>2</v>
      </c>
      <c r="AO12" s="37"/>
      <c r="AP12" s="23">
        <f t="shared" si="19"/>
        <v>2</v>
      </c>
      <c r="AQ12" s="37"/>
      <c r="AR12" s="23">
        <f t="shared" si="20"/>
        <v>2</v>
      </c>
      <c r="AS12" s="17">
        <f t="shared" si="21"/>
        <v>5188.8613052094934</v>
      </c>
      <c r="AT12" s="17">
        <f t="shared" si="22"/>
        <v>54588.547802790556</v>
      </c>
      <c r="AU12" s="46">
        <f t="shared" si="37"/>
        <v>25900</v>
      </c>
      <c r="AV12" s="17">
        <f t="shared" si="23"/>
        <v>28688.547802790556</v>
      </c>
      <c r="AW12" s="17">
        <f t="shared" si="38"/>
        <v>3246.3897077231377</v>
      </c>
      <c r="AX12" s="44">
        <f t="shared" si="39"/>
        <v>0.12</v>
      </c>
      <c r="AY12" s="22">
        <f t="shared" si="3"/>
        <v>0.12</v>
      </c>
      <c r="AZ12" s="12">
        <f t="shared" si="4"/>
        <v>0.12</v>
      </c>
    </row>
    <row r="13" spans="1:56" ht="18.75" thickBot="1" x14ac:dyDescent="0.4">
      <c r="A13" s="5">
        <f t="shared" si="24"/>
        <v>44351</v>
      </c>
      <c r="B13" s="37">
        <f t="shared" si="25"/>
        <v>237682.72784461544</v>
      </c>
      <c r="C13" s="18">
        <f t="shared" si="26"/>
        <v>0.14945487471167271</v>
      </c>
      <c r="D13" s="37">
        <f t="shared" si="27"/>
        <v>206437.70828623432</v>
      </c>
      <c r="E13" s="18">
        <f t="shared" si="28"/>
        <v>0.12980800964155101</v>
      </c>
      <c r="F13" s="37">
        <f t="shared" si="29"/>
        <v>1045638.5822100365</v>
      </c>
      <c r="G13" s="18">
        <f t="shared" si="30"/>
        <v>0.65749743245986736</v>
      </c>
      <c r="H13" s="38">
        <f t="shared" si="8"/>
        <v>100572.03177140548</v>
      </c>
      <c r="I13" s="18">
        <f t="shared" si="9"/>
        <v>6.323968318690891E-2</v>
      </c>
      <c r="J13" s="17">
        <f t="shared" si="40"/>
        <v>1590331.0501122917</v>
      </c>
      <c r="K13" s="16">
        <f t="shared" si="42"/>
        <v>7156.4087501401082</v>
      </c>
      <c r="L13" s="18">
        <f t="shared" si="31"/>
        <v>4.5202901582498739E-3</v>
      </c>
      <c r="M13" s="19">
        <f t="shared" si="32"/>
        <v>26</v>
      </c>
      <c r="N13" s="50">
        <v>8.9999999999999993E-3</v>
      </c>
      <c r="O13" s="29">
        <f t="shared" si="10"/>
        <v>6.6862230303151748E-2</v>
      </c>
      <c r="P13" s="17">
        <f t="shared" si="0"/>
        <v>106333.08093086121</v>
      </c>
      <c r="Q13" s="20">
        <f t="shared" si="41"/>
        <v>1.3560972769674095E-2</v>
      </c>
      <c r="R13" s="42">
        <f t="shared" si="33"/>
        <v>0.2</v>
      </c>
      <c r="S13" s="17">
        <f t="shared" si="11"/>
        <v>112890.68876362903</v>
      </c>
      <c r="T13" s="42">
        <f t="shared" si="12"/>
        <v>-0.2</v>
      </c>
      <c r="U13" s="17">
        <f t="shared" si="11"/>
        <v>75260.45917575268</v>
      </c>
      <c r="V13" s="42">
        <f t="shared" si="12"/>
        <v>-0.1</v>
      </c>
      <c r="W13" s="42">
        <f t="shared" si="13"/>
        <v>0.1</v>
      </c>
      <c r="X13" s="29">
        <f t="shared" si="14"/>
        <v>6.6862230303151748E-2</v>
      </c>
      <c r="Y13" s="21">
        <f t="shared" si="1"/>
        <v>2.5716242424289135E-3</v>
      </c>
      <c r="Z13" s="17">
        <f t="shared" si="2"/>
        <v>4089.7338819562005</v>
      </c>
      <c r="AA13" s="17">
        <f t="shared" si="34"/>
        <v>45979.973992439052</v>
      </c>
      <c r="AB13" s="44">
        <v>0</v>
      </c>
      <c r="AC13" s="17">
        <f t="shared" si="15"/>
        <v>0</v>
      </c>
      <c r="AD13" s="17">
        <f t="shared" si="34"/>
        <v>0</v>
      </c>
      <c r="AE13" s="44">
        <v>0.3</v>
      </c>
      <c r="AF13" s="17">
        <f t="shared" si="16"/>
        <v>1226.9201645868602</v>
      </c>
      <c r="AG13" s="17">
        <f t="shared" si="34"/>
        <v>13793.992197731715</v>
      </c>
      <c r="AH13" s="44">
        <v>0.7</v>
      </c>
      <c r="AI13" s="17">
        <f t="shared" si="17"/>
        <v>2862.8137173693403</v>
      </c>
      <c r="AJ13" s="17">
        <f t="shared" si="35"/>
        <v>32185.981794707332</v>
      </c>
      <c r="AK13" s="37">
        <f t="shared" si="36"/>
        <v>1153.8461538461538</v>
      </c>
      <c r="AL13" s="17">
        <f t="shared" si="34"/>
        <v>13846.153846153849</v>
      </c>
      <c r="AM13" s="37"/>
      <c r="AN13" s="23">
        <f t="shared" si="18"/>
        <v>2</v>
      </c>
      <c r="AO13" s="37"/>
      <c r="AP13" s="23">
        <f t="shared" si="19"/>
        <v>2</v>
      </c>
      <c r="AQ13" s="37"/>
      <c r="AR13" s="23">
        <f t="shared" si="20"/>
        <v>2</v>
      </c>
      <c r="AS13" s="17">
        <f t="shared" si="21"/>
        <v>5243.5800358023544</v>
      </c>
      <c r="AT13" s="17">
        <f t="shared" si="22"/>
        <v>59832.127838592911</v>
      </c>
      <c r="AU13" s="46">
        <f t="shared" si="37"/>
        <v>25900</v>
      </c>
      <c r="AV13" s="17">
        <f t="shared" si="23"/>
        <v>33932.127838592911</v>
      </c>
      <c r="AW13" s="17">
        <f t="shared" si="38"/>
        <v>3875.6193120194202</v>
      </c>
      <c r="AX13" s="44">
        <f t="shared" si="39"/>
        <v>0.12</v>
      </c>
      <c r="AY13" s="22">
        <f t="shared" si="3"/>
        <v>0.12</v>
      </c>
      <c r="AZ13" s="12">
        <f t="shared" si="4"/>
        <v>0.12</v>
      </c>
    </row>
    <row r="14" spans="1:56" ht="18.75" thickBot="1" x14ac:dyDescent="0.4">
      <c r="A14" s="5">
        <f t="shared" si="24"/>
        <v>44365</v>
      </c>
      <c r="B14" s="37">
        <f t="shared" si="25"/>
        <v>238830.00408863465</v>
      </c>
      <c r="C14" s="18">
        <f t="shared" si="26"/>
        <v>0.14950084513797227</v>
      </c>
      <c r="D14" s="37">
        <f t="shared" si="27"/>
        <v>207434.16722430827</v>
      </c>
      <c r="E14" s="18">
        <f t="shared" si="28"/>
        <v>0.12984793694102409</v>
      </c>
      <c r="F14" s="37">
        <f t="shared" si="29"/>
        <v>1049452.9567987844</v>
      </c>
      <c r="G14" s="18">
        <f t="shared" si="30"/>
        <v>0.65692794576905666</v>
      </c>
      <c r="H14" s="38">
        <f t="shared" si="8"/>
        <v>101798.95193599234</v>
      </c>
      <c r="I14" s="18">
        <f t="shared" si="9"/>
        <v>6.3723272151946966E-2</v>
      </c>
      <c r="J14" s="17">
        <f t="shared" si="40"/>
        <v>1597516.0800477196</v>
      </c>
      <c r="K14" s="16">
        <f t="shared" si="42"/>
        <v>7185.0299354279414</v>
      </c>
      <c r="L14" s="18">
        <f t="shared" si="31"/>
        <v>4.5179460810506177E-3</v>
      </c>
      <c r="M14" s="19">
        <f t="shared" si="32"/>
        <v>26</v>
      </c>
      <c r="N14" s="50">
        <v>8.9999999999999993E-3</v>
      </c>
      <c r="O14" s="29">
        <f t="shared" si="10"/>
        <v>6.7463990375880106E-2</v>
      </c>
      <c r="P14" s="17">
        <f t="shared" si="0"/>
        <v>107774.80944965307</v>
      </c>
      <c r="Q14" s="20">
        <f t="shared" si="41"/>
        <v>1.3558607595779966E-2</v>
      </c>
      <c r="R14" s="42">
        <f t="shared" si="33"/>
        <v>0.2</v>
      </c>
      <c r="S14" s="17">
        <f t="shared" si="11"/>
        <v>112890.68876362903</v>
      </c>
      <c r="T14" s="42">
        <f t="shared" si="12"/>
        <v>-0.2</v>
      </c>
      <c r="U14" s="17">
        <f t="shared" si="11"/>
        <v>75260.45917575268</v>
      </c>
      <c r="V14" s="42">
        <f t="shared" si="12"/>
        <v>-0.1</v>
      </c>
      <c r="W14" s="42">
        <f t="shared" si="13"/>
        <v>0.1</v>
      </c>
      <c r="X14" s="29">
        <f t="shared" si="14"/>
        <v>6.7463990375880106E-2</v>
      </c>
      <c r="Y14" s="21">
        <f t="shared" si="1"/>
        <v>2.5947688606107735E-3</v>
      </c>
      <c r="Z14" s="17">
        <f t="shared" si="2"/>
        <v>4145.1849788328109</v>
      </c>
      <c r="AA14" s="17">
        <f t="shared" si="34"/>
        <v>50125.158971271863</v>
      </c>
      <c r="AB14" s="44">
        <v>0</v>
      </c>
      <c r="AC14" s="17">
        <f t="shared" si="15"/>
        <v>0</v>
      </c>
      <c r="AD14" s="17">
        <f t="shared" si="34"/>
        <v>0</v>
      </c>
      <c r="AE14" s="44">
        <v>0.3</v>
      </c>
      <c r="AF14" s="17">
        <f t="shared" si="16"/>
        <v>1243.5554936498431</v>
      </c>
      <c r="AG14" s="17">
        <f t="shared" si="34"/>
        <v>15037.547691381558</v>
      </c>
      <c r="AH14" s="44">
        <v>0.7</v>
      </c>
      <c r="AI14" s="17">
        <f t="shared" si="17"/>
        <v>2901.6294851829675</v>
      </c>
      <c r="AJ14" s="17">
        <f t="shared" si="35"/>
        <v>35087.611279890298</v>
      </c>
      <c r="AK14" s="37">
        <f t="shared" si="36"/>
        <v>1153.8461538461538</v>
      </c>
      <c r="AL14" s="17">
        <f t="shared" si="34"/>
        <v>15000.000000000004</v>
      </c>
      <c r="AM14" s="37"/>
      <c r="AN14" s="23">
        <f t="shared" si="18"/>
        <v>2</v>
      </c>
      <c r="AO14" s="37"/>
      <c r="AP14" s="23">
        <f t="shared" si="19"/>
        <v>2</v>
      </c>
      <c r="AQ14" s="37"/>
      <c r="AR14" s="23">
        <f t="shared" si="20"/>
        <v>2</v>
      </c>
      <c r="AS14" s="17">
        <f t="shared" si="21"/>
        <v>5299.0311326789652</v>
      </c>
      <c r="AT14" s="17">
        <f t="shared" si="22"/>
        <v>65131.158971271878</v>
      </c>
      <c r="AU14" s="46">
        <f t="shared" si="37"/>
        <v>25900</v>
      </c>
      <c r="AV14" s="17">
        <f t="shared" si="23"/>
        <v>39231.158971271878</v>
      </c>
      <c r="AW14" s="17">
        <f t="shared" si="38"/>
        <v>4511.5030479408961</v>
      </c>
      <c r="AX14" s="44">
        <f t="shared" si="39"/>
        <v>0.12</v>
      </c>
      <c r="AY14" s="22">
        <f t="shared" si="3"/>
        <v>0.12</v>
      </c>
      <c r="AZ14" s="12">
        <f t="shared" si="4"/>
        <v>0.12</v>
      </c>
    </row>
    <row r="15" spans="1:56" ht="18.75" thickBot="1" x14ac:dyDescent="0.4">
      <c r="A15" s="5">
        <f t="shared" si="24"/>
        <v>44379</v>
      </c>
      <c r="B15" s="37">
        <f t="shared" si="25"/>
        <v>239982.81814683173</v>
      </c>
      <c r="C15" s="18">
        <f t="shared" si="26"/>
        <v>0.14954718220374233</v>
      </c>
      <c r="D15" s="37">
        <f t="shared" si="27"/>
        <v>208435.4359930256</v>
      </c>
      <c r="E15" s="18">
        <f t="shared" si="28"/>
        <v>0.12988818268270258</v>
      </c>
      <c r="F15" s="37">
        <f t="shared" si="29"/>
        <v>1053269.0274537422</v>
      </c>
      <c r="G15" s="18">
        <f t="shared" si="30"/>
        <v>0.65635288548786797</v>
      </c>
      <c r="H15" s="38">
        <f t="shared" si="8"/>
        <v>103042.50742964218</v>
      </c>
      <c r="I15" s="18">
        <f t="shared" si="9"/>
        <v>6.4211749625687167E-2</v>
      </c>
      <c r="J15" s="17">
        <f t="shared" si="40"/>
        <v>1604729.7890232417</v>
      </c>
      <c r="K15" s="16">
        <f t="shared" si="42"/>
        <v>7213.7089755220804</v>
      </c>
      <c r="L15" s="18">
        <f t="shared" si="31"/>
        <v>4.5155783191281546E-3</v>
      </c>
      <c r="M15" s="19">
        <f t="shared" si="32"/>
        <v>26</v>
      </c>
      <c r="N15" s="50">
        <v>5.0000000000000001E-3</v>
      </c>
      <c r="O15" s="29">
        <f t="shared" si="10"/>
        <v>6.7801310327759504E-2</v>
      </c>
      <c r="P15" s="17">
        <f t="shared" si="0"/>
        <v>108802.78241776484</v>
      </c>
      <c r="Q15" s="20">
        <f t="shared" si="41"/>
        <v>9.5381562107237309E-3</v>
      </c>
      <c r="R15" s="42">
        <f t="shared" si="33"/>
        <v>0.2</v>
      </c>
      <c r="S15" s="17">
        <f t="shared" si="11"/>
        <v>112890.68876362903</v>
      </c>
      <c r="T15" s="42">
        <f t="shared" si="12"/>
        <v>-0.2</v>
      </c>
      <c r="U15" s="17">
        <f t="shared" si="11"/>
        <v>75260.45917575268</v>
      </c>
      <c r="V15" s="42">
        <f t="shared" si="12"/>
        <v>-0.1</v>
      </c>
      <c r="W15" s="42">
        <f t="shared" si="13"/>
        <v>0.1</v>
      </c>
      <c r="X15" s="29">
        <f t="shared" si="14"/>
        <v>6.7801310327759504E-2</v>
      </c>
      <c r="Y15" s="21">
        <f t="shared" si="1"/>
        <v>2.6077427049138271E-3</v>
      </c>
      <c r="Z15" s="17">
        <f t="shared" si="2"/>
        <v>4184.7224006832639</v>
      </c>
      <c r="AA15" s="17">
        <f t="shared" si="34"/>
        <v>54309.881371955125</v>
      </c>
      <c r="AB15" s="44">
        <v>0</v>
      </c>
      <c r="AC15" s="17">
        <f t="shared" si="15"/>
        <v>0</v>
      </c>
      <c r="AD15" s="17">
        <f t="shared" si="34"/>
        <v>0</v>
      </c>
      <c r="AE15" s="44">
        <v>0.3</v>
      </c>
      <c r="AF15" s="17">
        <f t="shared" si="16"/>
        <v>1255.4167202049791</v>
      </c>
      <c r="AG15" s="17">
        <f t="shared" si="34"/>
        <v>16292.964411586538</v>
      </c>
      <c r="AH15" s="44">
        <v>0.7</v>
      </c>
      <c r="AI15" s="17">
        <f t="shared" si="17"/>
        <v>2929.3056804782846</v>
      </c>
      <c r="AJ15" s="17">
        <f t="shared" si="35"/>
        <v>38016.91696036858</v>
      </c>
      <c r="AK15" s="37">
        <f t="shared" si="36"/>
        <v>1153.8461538461538</v>
      </c>
      <c r="AL15" s="17">
        <f t="shared" si="34"/>
        <v>16153.846153846158</v>
      </c>
      <c r="AM15" s="37"/>
      <c r="AN15" s="23">
        <f t="shared" si="18"/>
        <v>2</v>
      </c>
      <c r="AO15" s="37"/>
      <c r="AP15" s="23">
        <f t="shared" si="19"/>
        <v>2</v>
      </c>
      <c r="AQ15" s="37"/>
      <c r="AR15" s="23">
        <f t="shared" si="20"/>
        <v>2</v>
      </c>
      <c r="AS15" s="17">
        <f t="shared" si="21"/>
        <v>5338.5685545294182</v>
      </c>
      <c r="AT15" s="17">
        <f t="shared" si="22"/>
        <v>70469.727525801296</v>
      </c>
      <c r="AU15" s="46">
        <f t="shared" si="37"/>
        <v>25900</v>
      </c>
      <c r="AV15" s="17">
        <f t="shared" si="23"/>
        <v>44569.727525801296</v>
      </c>
      <c r="AW15" s="17">
        <f t="shared" si="38"/>
        <v>5152.1312744844263</v>
      </c>
      <c r="AX15" s="44">
        <f t="shared" si="39"/>
        <v>0.12</v>
      </c>
      <c r="AY15" s="22">
        <f t="shared" si="3"/>
        <v>0.12</v>
      </c>
      <c r="AZ15" s="12">
        <f t="shared" si="4"/>
        <v>0.22</v>
      </c>
    </row>
    <row r="16" spans="1:56" ht="18.75" thickBot="1" x14ac:dyDescent="0.4">
      <c r="A16" s="5">
        <f t="shared" si="24"/>
        <v>44393</v>
      </c>
      <c r="B16" s="37">
        <f t="shared" si="25"/>
        <v>241141.19674980972</v>
      </c>
      <c r="C16" s="18">
        <f t="shared" si="26"/>
        <v>0.14959388756262668</v>
      </c>
      <c r="D16" s="37">
        <f t="shared" si="27"/>
        <v>209441.53780906886</v>
      </c>
      <c r="E16" s="18">
        <f t="shared" si="28"/>
        <v>0.12992874830284756</v>
      </c>
      <c r="F16" s="37">
        <f t="shared" si="29"/>
        <v>1057091.5995084241</v>
      </c>
      <c r="G16" s="18">
        <f t="shared" si="30"/>
        <v>0.65577530513929139</v>
      </c>
      <c r="H16" s="38">
        <f t="shared" si="8"/>
        <v>104297.92414984715</v>
      </c>
      <c r="I16" s="18">
        <f t="shared" si="9"/>
        <v>6.4702058995234332E-2</v>
      </c>
      <c r="J16" s="17">
        <f t="shared" si="40"/>
        <v>1611972.2582171499</v>
      </c>
      <c r="K16" s="16">
        <f t="shared" si="42"/>
        <v>7242.4691939081531</v>
      </c>
      <c r="L16" s="18">
        <f t="shared" si="31"/>
        <v>4.513201688812956E-3</v>
      </c>
      <c r="M16" s="19">
        <f t="shared" si="32"/>
        <v>26</v>
      </c>
      <c r="N16" s="50">
        <v>5.0000000000000001E-3</v>
      </c>
      <c r="O16" s="29">
        <f t="shared" si="10"/>
        <v>6.8140316879398297E-2</v>
      </c>
      <c r="P16" s="17">
        <f t="shared" si="0"/>
        <v>109840.30047571585</v>
      </c>
      <c r="Q16" s="20">
        <f t="shared" si="41"/>
        <v>9.5357676972570114E-3</v>
      </c>
      <c r="R16" s="42">
        <f t="shared" si="33"/>
        <v>0.2</v>
      </c>
      <c r="S16" s="17">
        <f t="shared" si="11"/>
        <v>112890.68876362903</v>
      </c>
      <c r="T16" s="42">
        <f t="shared" si="12"/>
        <v>-0.2</v>
      </c>
      <c r="U16" s="17">
        <f t="shared" si="11"/>
        <v>75260.45917575268</v>
      </c>
      <c r="V16" s="42">
        <f t="shared" si="12"/>
        <v>-0.1</v>
      </c>
      <c r="W16" s="42">
        <f t="shared" si="13"/>
        <v>0.1</v>
      </c>
      <c r="X16" s="29">
        <f t="shared" si="14"/>
        <v>6.8140316879398297E-2</v>
      </c>
      <c r="Y16" s="21">
        <f t="shared" si="1"/>
        <v>2.6207814184383959E-3</v>
      </c>
      <c r="Z16" s="17">
        <f t="shared" si="2"/>
        <v>4224.6269413736863</v>
      </c>
      <c r="AA16" s="17">
        <f t="shared" si="34"/>
        <v>58534.508313328814</v>
      </c>
      <c r="AB16" s="44">
        <v>0</v>
      </c>
      <c r="AC16" s="17">
        <f t="shared" si="15"/>
        <v>0</v>
      </c>
      <c r="AD16" s="17">
        <f t="shared" si="34"/>
        <v>0</v>
      </c>
      <c r="AE16" s="44">
        <v>0.3</v>
      </c>
      <c r="AF16" s="17">
        <f t="shared" si="16"/>
        <v>1267.3880824121059</v>
      </c>
      <c r="AG16" s="17">
        <f t="shared" si="34"/>
        <v>17560.352493998642</v>
      </c>
      <c r="AH16" s="44">
        <v>0.7</v>
      </c>
      <c r="AI16" s="17">
        <f t="shared" si="17"/>
        <v>2957.2388589615803</v>
      </c>
      <c r="AJ16" s="17">
        <f t="shared" si="35"/>
        <v>40974.155819330161</v>
      </c>
      <c r="AK16" s="37">
        <f t="shared" si="36"/>
        <v>1153.8461538461538</v>
      </c>
      <c r="AL16" s="17">
        <f t="shared" si="34"/>
        <v>17307.692307692312</v>
      </c>
      <c r="AM16" s="37"/>
      <c r="AN16" s="23">
        <f t="shared" si="18"/>
        <v>2</v>
      </c>
      <c r="AO16" s="37"/>
      <c r="AP16" s="23">
        <f t="shared" si="19"/>
        <v>2</v>
      </c>
      <c r="AQ16" s="37"/>
      <c r="AR16" s="23">
        <f t="shared" si="20"/>
        <v>2</v>
      </c>
      <c r="AS16" s="17">
        <f t="shared" si="21"/>
        <v>5378.4730952198406</v>
      </c>
      <c r="AT16" s="17">
        <f t="shared" si="22"/>
        <v>75848.20062102114</v>
      </c>
      <c r="AU16" s="46">
        <f t="shared" si="37"/>
        <v>25900</v>
      </c>
      <c r="AV16" s="17">
        <f t="shared" si="23"/>
        <v>49948.20062102114</v>
      </c>
      <c r="AW16" s="17">
        <f t="shared" si="38"/>
        <v>5797.5480459108076</v>
      </c>
      <c r="AX16" s="44">
        <f t="shared" si="39"/>
        <v>0.12</v>
      </c>
      <c r="AY16" s="22">
        <f t="shared" si="3"/>
        <v>0.12</v>
      </c>
      <c r="AZ16" s="12">
        <f t="shared" si="4"/>
        <v>0.22</v>
      </c>
    </row>
    <row r="17" spans="1:52" ht="18.75" thickBot="1" x14ac:dyDescent="0.4">
      <c r="A17" s="5">
        <f t="shared" si="24"/>
        <v>44407</v>
      </c>
      <c r="B17" s="37">
        <f t="shared" si="25"/>
        <v>242305.16675719823</v>
      </c>
      <c r="C17" s="18">
        <f t="shared" si="26"/>
        <v>0.14964096288276491</v>
      </c>
      <c r="D17" s="37">
        <f t="shared" si="27"/>
        <v>210452.49600118573</v>
      </c>
      <c r="E17" s="18">
        <f t="shared" si="28"/>
        <v>0.1299696352503103</v>
      </c>
      <c r="F17" s="37">
        <f t="shared" si="29"/>
        <v>1060920.5936773184</v>
      </c>
      <c r="G17" s="18">
        <f t="shared" si="30"/>
        <v>0.65519518755912898</v>
      </c>
      <c r="H17" s="38">
        <f t="shared" si="8"/>
        <v>105565.31223225925</v>
      </c>
      <c r="I17" s="18">
        <f t="shared" si="9"/>
        <v>6.5194214307795859E-2</v>
      </c>
      <c r="J17" s="17">
        <f t="shared" si="40"/>
        <v>1619243.5686679615</v>
      </c>
      <c r="K17" s="16">
        <f t="shared" si="42"/>
        <v>7271.3104508116376</v>
      </c>
      <c r="L17" s="18">
        <f t="shared" si="31"/>
        <v>4.5108161221420438E-3</v>
      </c>
      <c r="M17" s="19">
        <f t="shared" si="32"/>
        <v>26</v>
      </c>
      <c r="N17" s="50">
        <v>5.0000000000000001E-3</v>
      </c>
      <c r="O17" s="29">
        <f t="shared" si="10"/>
        <v>6.8481018463795285E-2</v>
      </c>
      <c r="P17" s="17">
        <f t="shared" si="0"/>
        <v>110887.44872333245</v>
      </c>
      <c r="Q17" s="20">
        <f t="shared" si="41"/>
        <v>9.5333702027527514E-3</v>
      </c>
      <c r="R17" s="42">
        <f t="shared" si="33"/>
        <v>0.2</v>
      </c>
      <c r="S17" s="17">
        <f t="shared" si="11"/>
        <v>112890.68876362903</v>
      </c>
      <c r="T17" s="42">
        <f t="shared" si="12"/>
        <v>-0.2</v>
      </c>
      <c r="U17" s="17">
        <f t="shared" si="11"/>
        <v>75260.45917575268</v>
      </c>
      <c r="V17" s="42">
        <f t="shared" si="12"/>
        <v>-0.1</v>
      </c>
      <c r="W17" s="42">
        <f t="shared" si="13"/>
        <v>0.1</v>
      </c>
      <c r="X17" s="29">
        <f t="shared" si="14"/>
        <v>6.8481018463795285E-2</v>
      </c>
      <c r="Y17" s="21">
        <f t="shared" si="1"/>
        <v>2.633885325530588E-3</v>
      </c>
      <c r="Z17" s="17">
        <f t="shared" si="2"/>
        <v>4264.9018739743251</v>
      </c>
      <c r="AA17" s="17">
        <f t="shared" si="34"/>
        <v>62799.41018730314</v>
      </c>
      <c r="AB17" s="44">
        <v>0</v>
      </c>
      <c r="AC17" s="17">
        <f t="shared" si="15"/>
        <v>0</v>
      </c>
      <c r="AD17" s="17">
        <f t="shared" si="34"/>
        <v>0</v>
      </c>
      <c r="AE17" s="44">
        <v>0.3</v>
      </c>
      <c r="AF17" s="17">
        <f t="shared" si="16"/>
        <v>1279.4705621922974</v>
      </c>
      <c r="AG17" s="17">
        <f t="shared" si="34"/>
        <v>18839.82305619094</v>
      </c>
      <c r="AH17" s="44">
        <v>0.7</v>
      </c>
      <c r="AI17" s="17">
        <f t="shared" si="17"/>
        <v>2985.4313117820275</v>
      </c>
      <c r="AJ17" s="17">
        <f t="shared" si="35"/>
        <v>43959.587131112188</v>
      </c>
      <c r="AK17" s="37">
        <f t="shared" si="36"/>
        <v>1153.8461538461538</v>
      </c>
      <c r="AL17" s="17">
        <f t="shared" si="34"/>
        <v>18461.538461538465</v>
      </c>
      <c r="AM17" s="37"/>
      <c r="AN17" s="23">
        <f t="shared" si="18"/>
        <v>2</v>
      </c>
      <c r="AO17" s="37"/>
      <c r="AP17" s="23">
        <f t="shared" si="19"/>
        <v>2</v>
      </c>
      <c r="AQ17" s="37"/>
      <c r="AR17" s="23">
        <f t="shared" si="20"/>
        <v>2</v>
      </c>
      <c r="AS17" s="17">
        <f t="shared" si="21"/>
        <v>5418.7480278204785</v>
      </c>
      <c r="AT17" s="17">
        <f t="shared" si="22"/>
        <v>81266.948648841615</v>
      </c>
      <c r="AU17" s="46">
        <f t="shared" si="37"/>
        <v>25900</v>
      </c>
      <c r="AV17" s="17">
        <f t="shared" si="23"/>
        <v>55366.948648841615</v>
      </c>
      <c r="AW17" s="17">
        <f t="shared" si="38"/>
        <v>6447.7978092492649</v>
      </c>
      <c r="AX17" s="44">
        <f t="shared" si="39"/>
        <v>0.12</v>
      </c>
      <c r="AY17" s="22">
        <f t="shared" si="3"/>
        <v>0.12</v>
      </c>
      <c r="AZ17" s="12">
        <f t="shared" si="4"/>
        <v>0.22</v>
      </c>
    </row>
    <row r="18" spans="1:52" ht="18.75" thickBot="1" x14ac:dyDescent="0.4">
      <c r="A18" s="5">
        <f t="shared" si="24"/>
        <v>44421</v>
      </c>
      <c r="B18" s="37">
        <f t="shared" si="25"/>
        <v>243474.75515827624</v>
      </c>
      <c r="C18" s="18">
        <f t="shared" si="26"/>
        <v>0.14968840984689188</v>
      </c>
      <c r="D18" s="37">
        <f t="shared" si="27"/>
        <v>211468.33401072992</v>
      </c>
      <c r="E18" s="18">
        <f t="shared" si="28"/>
        <v>0.13001084498661858</v>
      </c>
      <c r="F18" s="37">
        <f t="shared" si="29"/>
        <v>1064755.9293055471</v>
      </c>
      <c r="G18" s="18">
        <f t="shared" si="30"/>
        <v>0.65461251549133859</v>
      </c>
      <c r="H18" s="38">
        <f t="shared" si="8"/>
        <v>106844.78279445154</v>
      </c>
      <c r="I18" s="18">
        <f t="shared" si="9"/>
        <v>6.5688229675150991E-2</v>
      </c>
      <c r="J18" s="17">
        <f t="shared" si="40"/>
        <v>1626543.8012690048</v>
      </c>
      <c r="K18" s="16">
        <f t="shared" si="42"/>
        <v>7300.2326010433026</v>
      </c>
      <c r="L18" s="18">
        <f t="shared" si="31"/>
        <v>4.5084215508409851E-3</v>
      </c>
      <c r="M18" s="19">
        <f t="shared" si="32"/>
        <v>26</v>
      </c>
      <c r="N18" s="50">
        <v>2E-3</v>
      </c>
      <c r="O18" s="29">
        <f t="shared" si="10"/>
        <v>6.8617980500722875E-2</v>
      </c>
      <c r="P18" s="17">
        <f t="shared" si="0"/>
        <v>111610.15083904823</v>
      </c>
      <c r="Q18" s="20">
        <f t="shared" si="41"/>
        <v>6.5174383939425881E-3</v>
      </c>
      <c r="R18" s="42">
        <f t="shared" si="33"/>
        <v>0.2</v>
      </c>
      <c r="S18" s="17">
        <f t="shared" si="11"/>
        <v>112890.68876362903</v>
      </c>
      <c r="T18" s="42">
        <f t="shared" si="12"/>
        <v>-0.2</v>
      </c>
      <c r="U18" s="17">
        <f t="shared" si="11"/>
        <v>75260.45917575268</v>
      </c>
      <c r="V18" s="42">
        <f t="shared" si="12"/>
        <v>-0.1</v>
      </c>
      <c r="W18" s="42">
        <f t="shared" si="13"/>
        <v>0.1</v>
      </c>
      <c r="X18" s="29">
        <f t="shared" si="14"/>
        <v>6.8617980500722875E-2</v>
      </c>
      <c r="Y18" s="21">
        <f t="shared" si="1"/>
        <v>2.639153096181649E-3</v>
      </c>
      <c r="Z18" s="17">
        <f t="shared" si="2"/>
        <v>4292.6981091941625</v>
      </c>
      <c r="AA18" s="17">
        <f t="shared" si="34"/>
        <v>67092.108296497303</v>
      </c>
      <c r="AB18" s="44">
        <v>0</v>
      </c>
      <c r="AC18" s="17">
        <f t="shared" si="15"/>
        <v>0</v>
      </c>
      <c r="AD18" s="17">
        <f t="shared" si="34"/>
        <v>0</v>
      </c>
      <c r="AE18" s="44">
        <v>0.3</v>
      </c>
      <c r="AF18" s="17">
        <f t="shared" si="16"/>
        <v>1287.8094327582487</v>
      </c>
      <c r="AG18" s="17">
        <f t="shared" si="34"/>
        <v>20127.632488949188</v>
      </c>
      <c r="AH18" s="44">
        <v>0.7</v>
      </c>
      <c r="AI18" s="17">
        <f t="shared" si="17"/>
        <v>3004.8886764359136</v>
      </c>
      <c r="AJ18" s="17">
        <f t="shared" si="35"/>
        <v>46964.4758075481</v>
      </c>
      <c r="AK18" s="37">
        <f t="shared" si="36"/>
        <v>1153.8461538461538</v>
      </c>
      <c r="AL18" s="17">
        <f t="shared" si="34"/>
        <v>19615.384615384617</v>
      </c>
      <c r="AM18" s="37"/>
      <c r="AN18" s="23">
        <f t="shared" si="18"/>
        <v>2</v>
      </c>
      <c r="AO18" s="37"/>
      <c r="AP18" s="23">
        <f t="shared" si="19"/>
        <v>2</v>
      </c>
      <c r="AQ18" s="37"/>
      <c r="AR18" s="23">
        <f t="shared" si="20"/>
        <v>2</v>
      </c>
      <c r="AS18" s="17">
        <f t="shared" si="21"/>
        <v>5446.5442630403159</v>
      </c>
      <c r="AT18" s="17">
        <f t="shared" si="22"/>
        <v>86713.492911881927</v>
      </c>
      <c r="AU18" s="46">
        <f t="shared" si="37"/>
        <v>25900</v>
      </c>
      <c r="AV18" s="17">
        <f t="shared" si="23"/>
        <v>60813.492911881927</v>
      </c>
      <c r="AW18" s="17">
        <f t="shared" si="38"/>
        <v>7101.3831208141028</v>
      </c>
      <c r="AX18" s="44">
        <f t="shared" si="39"/>
        <v>0.12</v>
      </c>
      <c r="AY18" s="22">
        <f t="shared" si="3"/>
        <v>0.12</v>
      </c>
      <c r="AZ18" s="12">
        <f t="shared" si="4"/>
        <v>0.22</v>
      </c>
    </row>
    <row r="19" spans="1:52" ht="18.75" thickBot="1" x14ac:dyDescent="0.4">
      <c r="A19" s="5">
        <f t="shared" si="24"/>
        <v>44435</v>
      </c>
      <c r="B19" s="37">
        <f t="shared" si="25"/>
        <v>244649.98907259793</v>
      </c>
      <c r="C19" s="18">
        <f t="shared" si="26"/>
        <v>0.1497362284468107</v>
      </c>
      <c r="D19" s="37">
        <f t="shared" si="27"/>
        <v>212489.0753922048</v>
      </c>
      <c r="E19" s="18">
        <f t="shared" si="28"/>
        <v>0.13005237750465309</v>
      </c>
      <c r="F19" s="37">
        <f t="shared" si="29"/>
        <v>1068601.398682175</v>
      </c>
      <c r="G19" s="18">
        <f t="shared" si="30"/>
        <v>0.65402963539137704</v>
      </c>
      <c r="H19" s="38">
        <f t="shared" si="8"/>
        <v>108132.5922272098</v>
      </c>
      <c r="I19" s="18">
        <f t="shared" si="9"/>
        <v>6.6181758657159209E-2</v>
      </c>
      <c r="J19" s="17">
        <f t="shared" si="40"/>
        <v>1633873.0553741874</v>
      </c>
      <c r="K19" s="16">
        <f t="shared" si="42"/>
        <v>7329.2541051825974</v>
      </c>
      <c r="L19" s="18">
        <f t="shared" si="31"/>
        <v>4.5060293485268731E-3</v>
      </c>
      <c r="M19" s="19">
        <f t="shared" si="32"/>
        <v>26</v>
      </c>
      <c r="N19" s="50">
        <v>2E-3</v>
      </c>
      <c r="O19" s="29">
        <f t="shared" si="10"/>
        <v>6.8755216461724319E-2</v>
      </c>
      <c r="P19" s="17">
        <f t="shared" si="0"/>
        <v>112337.29559323115</v>
      </c>
      <c r="Q19" s="20">
        <f t="shared" si="41"/>
        <v>6.5150414072239586E-3</v>
      </c>
      <c r="R19" s="42">
        <f t="shared" si="33"/>
        <v>0.2</v>
      </c>
      <c r="S19" s="17">
        <f t="shared" si="11"/>
        <v>112890.68876362903</v>
      </c>
      <c r="T19" s="42">
        <f t="shared" ref="T19:V28" si="43">T18</f>
        <v>-0.2</v>
      </c>
      <c r="U19" s="17">
        <f t="shared" si="11"/>
        <v>75260.45917575268</v>
      </c>
      <c r="V19" s="42">
        <f t="shared" si="43"/>
        <v>-0.1</v>
      </c>
      <c r="W19" s="42">
        <f t="shared" si="13"/>
        <v>0.1</v>
      </c>
      <c r="X19" s="29">
        <f t="shared" si="14"/>
        <v>6.8755216461724319E-2</v>
      </c>
      <c r="Y19" s="21">
        <f t="shared" si="1"/>
        <v>2.6444314023740122E-3</v>
      </c>
      <c r="Z19" s="17">
        <f t="shared" si="2"/>
        <v>4320.6652151242743</v>
      </c>
      <c r="AA19" s="17">
        <f t="shared" si="34"/>
        <v>71412.773511621577</v>
      </c>
      <c r="AB19" s="44">
        <v>0</v>
      </c>
      <c r="AC19" s="17">
        <f t="shared" si="15"/>
        <v>0</v>
      </c>
      <c r="AD19" s="17">
        <f t="shared" si="34"/>
        <v>0</v>
      </c>
      <c r="AE19" s="44">
        <v>0.3</v>
      </c>
      <c r="AF19" s="17">
        <f t="shared" si="16"/>
        <v>1296.1995645372822</v>
      </c>
      <c r="AG19" s="17">
        <f t="shared" si="34"/>
        <v>21423.832053486469</v>
      </c>
      <c r="AH19" s="44">
        <v>0.7</v>
      </c>
      <c r="AI19" s="17">
        <f t="shared" si="17"/>
        <v>3024.4656505869916</v>
      </c>
      <c r="AJ19" s="17">
        <f t="shared" si="35"/>
        <v>49988.941458135094</v>
      </c>
      <c r="AK19" s="37">
        <f t="shared" si="36"/>
        <v>1153.8461538461538</v>
      </c>
      <c r="AL19" s="17">
        <f t="shared" si="34"/>
        <v>20769.23076923077</v>
      </c>
      <c r="AM19" s="37"/>
      <c r="AN19" s="23">
        <f t="shared" si="18"/>
        <v>2</v>
      </c>
      <c r="AO19" s="37"/>
      <c r="AP19" s="23">
        <f t="shared" si="19"/>
        <v>2</v>
      </c>
      <c r="AQ19" s="37"/>
      <c r="AR19" s="23">
        <f t="shared" si="20"/>
        <v>2</v>
      </c>
      <c r="AS19" s="17">
        <f t="shared" si="21"/>
        <v>5474.5113689704285</v>
      </c>
      <c r="AT19" s="17">
        <f t="shared" si="22"/>
        <v>92188.004280852358</v>
      </c>
      <c r="AU19" s="46">
        <f t="shared" si="37"/>
        <v>25900</v>
      </c>
      <c r="AV19" s="17">
        <f t="shared" si="23"/>
        <v>66288.004280852358</v>
      </c>
      <c r="AW19" s="17">
        <f t="shared" si="38"/>
        <v>7758.3244850905539</v>
      </c>
      <c r="AX19" s="44">
        <f t="shared" si="39"/>
        <v>0.12</v>
      </c>
      <c r="AY19" s="22">
        <f t="shared" si="3"/>
        <v>0.12</v>
      </c>
      <c r="AZ19" s="12">
        <f t="shared" si="4"/>
        <v>0.22</v>
      </c>
    </row>
    <row r="20" spans="1:52" ht="18.75" thickBot="1" x14ac:dyDescent="0.4">
      <c r="A20" s="5">
        <f t="shared" si="24"/>
        <v>44449</v>
      </c>
      <c r="B20" s="37">
        <f t="shared" si="25"/>
        <v>245830.89575062145</v>
      </c>
      <c r="C20" s="18">
        <f t="shared" si="26"/>
        <v>0.14978441868208112</v>
      </c>
      <c r="D20" s="37">
        <f t="shared" si="27"/>
        <v>213514.7438138095</v>
      </c>
      <c r="E20" s="18">
        <f t="shared" si="28"/>
        <v>0.13009423280403146</v>
      </c>
      <c r="F20" s="37">
        <f t="shared" si="29"/>
        <v>1072456.9992133786</v>
      </c>
      <c r="G20" s="18">
        <f t="shared" si="30"/>
        <v>0.65344653973705813</v>
      </c>
      <c r="H20" s="38">
        <f t="shared" si="8"/>
        <v>109428.79179174708</v>
      </c>
      <c r="I20" s="18">
        <f t="shared" si="9"/>
        <v>6.6674808776829228E-2</v>
      </c>
      <c r="J20" s="17">
        <f t="shared" si="40"/>
        <v>1641231.4305695568</v>
      </c>
      <c r="K20" s="16">
        <f t="shared" si="42"/>
        <v>7358.3751953693572</v>
      </c>
      <c r="L20" s="18">
        <f t="shared" si="31"/>
        <v>4.5036394787012091E-3</v>
      </c>
      <c r="M20" s="19">
        <f t="shared" si="32"/>
        <v>26</v>
      </c>
      <c r="N20" s="50">
        <v>3.0000000000000001E-3</v>
      </c>
      <c r="O20" s="29">
        <f t="shared" si="10"/>
        <v>6.8961482111109487E-2</v>
      </c>
      <c r="P20" s="17">
        <f t="shared" si="0"/>
        <v>113181.75193941312</v>
      </c>
      <c r="Q20" s="20">
        <f t="shared" si="41"/>
        <v>7.5171503971372131E-3</v>
      </c>
      <c r="R20" s="42">
        <f t="shared" si="33"/>
        <v>0.2</v>
      </c>
      <c r="S20" s="17">
        <f t="shared" si="11"/>
        <v>112890.68876362903</v>
      </c>
      <c r="T20" s="42">
        <f t="shared" si="43"/>
        <v>-0.2</v>
      </c>
      <c r="U20" s="17">
        <f t="shared" si="11"/>
        <v>75260.45917575268</v>
      </c>
      <c r="V20" s="42">
        <f t="shared" si="43"/>
        <v>-0.1</v>
      </c>
      <c r="W20" s="42">
        <f t="shared" si="13"/>
        <v>0.1</v>
      </c>
      <c r="X20" s="29">
        <f t="shared" si="14"/>
        <v>6.2065333899998534E-2</v>
      </c>
      <c r="Y20" s="21">
        <f t="shared" si="1"/>
        <v>2.3871282269230204E-3</v>
      </c>
      <c r="Z20" s="17">
        <f t="shared" si="2"/>
        <v>3917.8298748258385</v>
      </c>
      <c r="AA20" s="17">
        <f t="shared" ref="AA20:AL28" si="44">AA19+Z20</f>
        <v>75330.603386447416</v>
      </c>
      <c r="AB20" s="44">
        <v>0</v>
      </c>
      <c r="AC20" s="17">
        <f t="shared" si="15"/>
        <v>0</v>
      </c>
      <c r="AD20" s="17">
        <f t="shared" si="44"/>
        <v>0</v>
      </c>
      <c r="AE20" s="44">
        <v>0.3</v>
      </c>
      <c r="AF20" s="17">
        <f t="shared" si="16"/>
        <v>1175.3489624477515</v>
      </c>
      <c r="AG20" s="17">
        <f t="shared" si="44"/>
        <v>22599.18101593422</v>
      </c>
      <c r="AH20" s="44">
        <v>0.7</v>
      </c>
      <c r="AI20" s="17">
        <f t="shared" si="17"/>
        <v>2742.4809123780869</v>
      </c>
      <c r="AJ20" s="17">
        <f t="shared" si="35"/>
        <v>52731.422370513181</v>
      </c>
      <c r="AK20" s="37">
        <f t="shared" si="36"/>
        <v>1153.8461538461538</v>
      </c>
      <c r="AL20" s="17">
        <f t="shared" si="44"/>
        <v>21923.076923076922</v>
      </c>
      <c r="AM20" s="37"/>
      <c r="AN20" s="23">
        <f t="shared" si="18"/>
        <v>2</v>
      </c>
      <c r="AO20" s="37"/>
      <c r="AP20" s="23">
        <f t="shared" si="19"/>
        <v>2</v>
      </c>
      <c r="AQ20" s="37"/>
      <c r="AR20" s="23">
        <f t="shared" si="20"/>
        <v>2</v>
      </c>
      <c r="AS20" s="17">
        <f t="shared" si="21"/>
        <v>5071.6760286719928</v>
      </c>
      <c r="AT20" s="17">
        <f t="shared" si="22"/>
        <v>97259.680309524352</v>
      </c>
      <c r="AU20" s="46">
        <f t="shared" si="37"/>
        <v>25900</v>
      </c>
      <c r="AV20" s="17">
        <f t="shared" si="23"/>
        <v>71359.680309524352</v>
      </c>
      <c r="AW20" s="17">
        <f t="shared" si="38"/>
        <v>8366.9256085311936</v>
      </c>
      <c r="AX20" s="44">
        <f t="shared" si="39"/>
        <v>0.12</v>
      </c>
      <c r="AY20" s="22">
        <f t="shared" si="3"/>
        <v>0.12</v>
      </c>
      <c r="AZ20" s="12">
        <f t="shared" si="4"/>
        <v>0.22</v>
      </c>
    </row>
    <row r="21" spans="1:52" ht="18.75" thickBot="1" x14ac:dyDescent="0.4">
      <c r="A21" s="5">
        <f t="shared" si="24"/>
        <v>44463</v>
      </c>
      <c r="B21" s="37">
        <f t="shared" si="25"/>
        <v>247017.50257434082</v>
      </c>
      <c r="C21" s="18">
        <f t="shared" si="26"/>
        <v>0.14983292384081864</v>
      </c>
      <c r="D21" s="37">
        <f t="shared" si="27"/>
        <v>214545.36305798771</v>
      </c>
      <c r="E21" s="18">
        <f t="shared" si="28"/>
        <v>0.13013636162803408</v>
      </c>
      <c r="F21" s="37">
        <f t="shared" si="29"/>
        <v>1076452.6443704113</v>
      </c>
      <c r="G21" s="18">
        <f t="shared" si="30"/>
        <v>0.65294177700488831</v>
      </c>
      <c r="H21" s="38">
        <f t="shared" si="8"/>
        <v>110604.14075419483</v>
      </c>
      <c r="I21" s="18">
        <f t="shared" si="9"/>
        <v>6.708893752625894E-2</v>
      </c>
      <c r="J21" s="17">
        <f t="shared" si="40"/>
        <v>1648619.6507569347</v>
      </c>
      <c r="K21" s="16">
        <f t="shared" si="42"/>
        <v>7388.2201873778831</v>
      </c>
      <c r="L21" s="18">
        <f t="shared" si="31"/>
        <v>4.5016321584908647E-3</v>
      </c>
      <c r="M21" s="19">
        <f t="shared" si="32"/>
        <v>26</v>
      </c>
      <c r="N21" s="50">
        <v>3.0000000000000001E-3</v>
      </c>
      <c r="O21" s="29">
        <f t="shared" si="10"/>
        <v>6.2251529901698521E-2</v>
      </c>
      <c r="P21" s="17">
        <f t="shared" si="0"/>
        <v>102629.0954856231</v>
      </c>
      <c r="Q21" s="20">
        <f t="shared" si="41"/>
        <v>-9.3236376650530445E-2</v>
      </c>
      <c r="R21" s="42">
        <f t="shared" si="33"/>
        <v>0.2</v>
      </c>
      <c r="S21" s="17">
        <f t="shared" si="11"/>
        <v>112890.68876362903</v>
      </c>
      <c r="T21" s="42">
        <f t="shared" si="43"/>
        <v>-0.2</v>
      </c>
      <c r="U21" s="17">
        <f t="shared" si="11"/>
        <v>75260.45917575268</v>
      </c>
      <c r="V21" s="42">
        <f t="shared" si="43"/>
        <v>-0.1</v>
      </c>
      <c r="W21" s="42">
        <f t="shared" si="13"/>
        <v>0.1</v>
      </c>
      <c r="X21" s="29">
        <f t="shared" si="14"/>
        <v>6.2251529901698521E-2</v>
      </c>
      <c r="Y21" s="21">
        <f t="shared" si="1"/>
        <v>2.3942896116037893E-3</v>
      </c>
      <c r="Z21" s="17">
        <f t="shared" si="2"/>
        <v>3947.2729032931957</v>
      </c>
      <c r="AA21" s="17">
        <f t="shared" si="44"/>
        <v>79277.876289740612</v>
      </c>
      <c r="AB21" s="44">
        <v>0</v>
      </c>
      <c r="AC21" s="17">
        <f t="shared" si="15"/>
        <v>0</v>
      </c>
      <c r="AD21" s="17">
        <f t="shared" si="44"/>
        <v>0</v>
      </c>
      <c r="AE21" s="44">
        <v>0.3</v>
      </c>
      <c r="AF21" s="17">
        <f t="shared" si="16"/>
        <v>1184.1818709879587</v>
      </c>
      <c r="AG21" s="17">
        <f t="shared" si="44"/>
        <v>23783.362886922179</v>
      </c>
      <c r="AH21" s="44">
        <v>0.7</v>
      </c>
      <c r="AI21" s="17">
        <f t="shared" si="17"/>
        <v>2763.0910323052367</v>
      </c>
      <c r="AJ21" s="17">
        <f t="shared" si="35"/>
        <v>55494.513402818418</v>
      </c>
      <c r="AK21" s="37">
        <f t="shared" si="36"/>
        <v>1153.8461538461538</v>
      </c>
      <c r="AL21" s="17">
        <f t="shared" si="44"/>
        <v>23076.923076923074</v>
      </c>
      <c r="AM21" s="37"/>
      <c r="AN21" s="23">
        <f t="shared" si="18"/>
        <v>2</v>
      </c>
      <c r="AO21" s="37"/>
      <c r="AP21" s="23">
        <f t="shared" si="19"/>
        <v>2</v>
      </c>
      <c r="AQ21" s="37"/>
      <c r="AR21" s="23">
        <f t="shared" si="20"/>
        <v>2</v>
      </c>
      <c r="AS21" s="17">
        <f t="shared" si="21"/>
        <v>5101.119057139349</v>
      </c>
      <c r="AT21" s="17">
        <f t="shared" si="22"/>
        <v>102360.7993666637</v>
      </c>
      <c r="AU21" s="46">
        <f t="shared" si="37"/>
        <v>25900</v>
      </c>
      <c r="AV21" s="17">
        <f t="shared" si="23"/>
        <v>76460.799366663705</v>
      </c>
      <c r="AW21" s="17">
        <f t="shared" si="38"/>
        <v>8979.0598953879162</v>
      </c>
      <c r="AX21" s="44">
        <f t="shared" si="39"/>
        <v>0.12</v>
      </c>
      <c r="AY21" s="22">
        <f t="shared" si="3"/>
        <v>0.12</v>
      </c>
      <c r="AZ21" s="12">
        <f t="shared" si="4"/>
        <v>0.22</v>
      </c>
    </row>
    <row r="22" spans="1:52" ht="18.75" thickBot="1" x14ac:dyDescent="0.4">
      <c r="A22" s="5">
        <f t="shared" si="24"/>
        <v>44477</v>
      </c>
      <c r="B22" s="37">
        <f t="shared" si="25"/>
        <v>248209.83705792081</v>
      </c>
      <c r="C22" s="18">
        <f t="shared" si="26"/>
        <v>0.14988174452054712</v>
      </c>
      <c r="D22" s="37">
        <f t="shared" si="27"/>
        <v>215580.95702197915</v>
      </c>
      <c r="E22" s="18">
        <f t="shared" si="28"/>
        <v>0.13017876449563626</v>
      </c>
      <c r="F22" s="37">
        <f t="shared" si="29"/>
        <v>1080458.7006549495</v>
      </c>
      <c r="G22" s="18">
        <f t="shared" si="30"/>
        <v>0.65243600679201852</v>
      </c>
      <c r="H22" s="38">
        <f t="shared" si="8"/>
        <v>111788.32262518279</v>
      </c>
      <c r="I22" s="18">
        <f t="shared" si="9"/>
        <v>6.7503484191798108E-2</v>
      </c>
      <c r="J22" s="17">
        <f t="shared" si="40"/>
        <v>1656037.8173600323</v>
      </c>
      <c r="K22" s="16">
        <f t="shared" si="42"/>
        <v>7418.1666030976921</v>
      </c>
      <c r="L22" s="18">
        <f t="shared" si="31"/>
        <v>4.499622820637721E-3</v>
      </c>
      <c r="M22" s="19">
        <f t="shared" si="32"/>
        <v>26</v>
      </c>
      <c r="N22" s="50">
        <v>8.0000000000000002E-3</v>
      </c>
      <c r="O22" s="29">
        <f t="shared" si="10"/>
        <v>6.2749542140912107E-2</v>
      </c>
      <c r="P22" s="17">
        <f t="shared" si="0"/>
        <v>103915.61480737745</v>
      </c>
      <c r="Q22" s="20">
        <f t="shared" si="41"/>
        <v>1.2535619803202688E-2</v>
      </c>
      <c r="R22" s="42">
        <f t="shared" si="33"/>
        <v>0.2</v>
      </c>
      <c r="S22" s="17">
        <f t="shared" si="11"/>
        <v>112890.68876362903</v>
      </c>
      <c r="T22" s="42">
        <f t="shared" si="43"/>
        <v>-0.2</v>
      </c>
      <c r="U22" s="17">
        <f t="shared" si="11"/>
        <v>75260.45917575268</v>
      </c>
      <c r="V22" s="42">
        <f t="shared" si="43"/>
        <v>-0.1</v>
      </c>
      <c r="W22" s="42">
        <f t="shared" si="13"/>
        <v>0.1</v>
      </c>
      <c r="X22" s="29">
        <f t="shared" si="14"/>
        <v>6.2749542140912107E-2</v>
      </c>
      <c r="Y22" s="21">
        <f t="shared" si="1"/>
        <v>2.4134439284966194E-3</v>
      </c>
      <c r="Z22" s="17">
        <f t="shared" si="2"/>
        <v>3996.7544156683634</v>
      </c>
      <c r="AA22" s="17">
        <f t="shared" si="44"/>
        <v>83274.63070540897</v>
      </c>
      <c r="AB22" s="44">
        <v>0</v>
      </c>
      <c r="AC22" s="17">
        <f t="shared" si="15"/>
        <v>0</v>
      </c>
      <c r="AD22" s="17">
        <f t="shared" si="44"/>
        <v>0</v>
      </c>
      <c r="AE22" s="44">
        <v>0.3</v>
      </c>
      <c r="AF22" s="17">
        <f t="shared" si="16"/>
        <v>1199.0263247005089</v>
      </c>
      <c r="AG22" s="17">
        <f t="shared" si="44"/>
        <v>24982.389211622689</v>
      </c>
      <c r="AH22" s="44">
        <v>0.7</v>
      </c>
      <c r="AI22" s="17">
        <f t="shared" si="17"/>
        <v>2797.7280909678543</v>
      </c>
      <c r="AJ22" s="17">
        <f t="shared" si="35"/>
        <v>58292.24149378627</v>
      </c>
      <c r="AK22" s="37">
        <f t="shared" si="36"/>
        <v>1153.8461538461538</v>
      </c>
      <c r="AL22" s="17">
        <f t="shared" si="44"/>
        <v>24230.769230769227</v>
      </c>
      <c r="AM22" s="37"/>
      <c r="AN22" s="23">
        <f t="shared" si="18"/>
        <v>2</v>
      </c>
      <c r="AO22" s="37"/>
      <c r="AP22" s="23">
        <f t="shared" si="19"/>
        <v>2</v>
      </c>
      <c r="AQ22" s="37"/>
      <c r="AR22" s="23">
        <f t="shared" si="20"/>
        <v>2</v>
      </c>
      <c r="AS22" s="17">
        <f t="shared" si="21"/>
        <v>5150.6005695145177</v>
      </c>
      <c r="AT22" s="17">
        <f t="shared" si="22"/>
        <v>107511.39993617822</v>
      </c>
      <c r="AU22" s="46">
        <f t="shared" si="37"/>
        <v>25900</v>
      </c>
      <c r="AV22" s="17">
        <f t="shared" si="23"/>
        <v>81611.399936178219</v>
      </c>
      <c r="AW22" s="17">
        <f t="shared" si="38"/>
        <v>10112.19202068111</v>
      </c>
      <c r="AX22" s="44">
        <f t="shared" si="39"/>
        <v>0.12</v>
      </c>
      <c r="AY22" s="22">
        <f t="shared" si="3"/>
        <v>0.22</v>
      </c>
      <c r="AZ22" s="12">
        <f t="shared" si="4"/>
        <v>0.22</v>
      </c>
    </row>
    <row r="23" spans="1:52" ht="18.75" thickBot="1" x14ac:dyDescent="0.4">
      <c r="A23" s="5">
        <f t="shared" si="24"/>
        <v>44491</v>
      </c>
      <c r="B23" s="37">
        <f t="shared" si="25"/>
        <v>249407.92684833502</v>
      </c>
      <c r="C23" s="18">
        <f t="shared" si="26"/>
        <v>0.14993088391325965</v>
      </c>
      <c r="D23" s="37">
        <f t="shared" si="27"/>
        <v>216621.54971837372</v>
      </c>
      <c r="E23" s="18">
        <f t="shared" si="28"/>
        <v>0.1302214441792218</v>
      </c>
      <c r="F23" s="37">
        <f t="shared" si="29"/>
        <v>1084469.1777582662</v>
      </c>
      <c r="G23" s="18">
        <f t="shared" si="30"/>
        <v>0.65192564026586464</v>
      </c>
      <c r="H23" s="38">
        <f t="shared" si="8"/>
        <v>112987.34894988329</v>
      </c>
      <c r="I23" s="18">
        <f t="shared" si="9"/>
        <v>6.7922031641653891E-2</v>
      </c>
      <c r="J23" s="17">
        <f t="shared" si="40"/>
        <v>1663486.0032748582</v>
      </c>
      <c r="K23" s="16">
        <f t="shared" si="42"/>
        <v>7448.1859148258809</v>
      </c>
      <c r="L23" s="18">
        <f t="shared" si="31"/>
        <v>4.4975940988469599E-3</v>
      </c>
      <c r="M23" s="19">
        <f t="shared" si="32"/>
        <v>26</v>
      </c>
      <c r="N23" s="50">
        <v>8.0000000000000002E-3</v>
      </c>
      <c r="O23" s="29">
        <f t="shared" si="10"/>
        <v>6.325153847803941E-2</v>
      </c>
      <c r="P23" s="17">
        <f t="shared" si="0"/>
        <v>105218.04894381968</v>
      </c>
      <c r="Q23" s="20">
        <f t="shared" si="41"/>
        <v>1.2533574851637821E-2</v>
      </c>
      <c r="R23" s="42">
        <f t="shared" si="33"/>
        <v>0.2</v>
      </c>
      <c r="S23" s="17">
        <f t="shared" si="11"/>
        <v>112890.68876362903</v>
      </c>
      <c r="T23" s="42">
        <f t="shared" si="43"/>
        <v>-0.2</v>
      </c>
      <c r="U23" s="17">
        <f t="shared" si="11"/>
        <v>75260.45917575268</v>
      </c>
      <c r="V23" s="42">
        <f t="shared" si="43"/>
        <v>-0.1</v>
      </c>
      <c r="W23" s="42">
        <f t="shared" si="13"/>
        <v>0.1</v>
      </c>
      <c r="X23" s="29">
        <f t="shared" si="14"/>
        <v>6.325153847803941E-2</v>
      </c>
      <c r="Y23" s="21">
        <f t="shared" si="1"/>
        <v>2.4327514799245926E-3</v>
      </c>
      <c r="Z23" s="17">
        <f t="shared" si="2"/>
        <v>4046.848036300757</v>
      </c>
      <c r="AA23" s="17">
        <f t="shared" si="44"/>
        <v>87321.478741709725</v>
      </c>
      <c r="AB23" s="44">
        <v>0</v>
      </c>
      <c r="AC23" s="17">
        <f t="shared" si="15"/>
        <v>0</v>
      </c>
      <c r="AD23" s="17">
        <f t="shared" si="44"/>
        <v>0</v>
      </c>
      <c r="AE23" s="44">
        <v>0.3</v>
      </c>
      <c r="AF23" s="17">
        <f t="shared" si="16"/>
        <v>1214.054410890227</v>
      </c>
      <c r="AG23" s="17">
        <f t="shared" si="44"/>
        <v>26196.443622512917</v>
      </c>
      <c r="AH23" s="44">
        <v>0.7</v>
      </c>
      <c r="AI23" s="17">
        <f t="shared" si="17"/>
        <v>2832.7936254105298</v>
      </c>
      <c r="AJ23" s="17">
        <f t="shared" si="35"/>
        <v>61125.0351191968</v>
      </c>
      <c r="AK23" s="37">
        <f t="shared" si="36"/>
        <v>1153.8461538461538</v>
      </c>
      <c r="AL23" s="17">
        <f t="shared" si="44"/>
        <v>25384.615384615379</v>
      </c>
      <c r="AM23" s="37"/>
      <c r="AN23" s="23">
        <f t="shared" si="18"/>
        <v>2</v>
      </c>
      <c r="AO23" s="37"/>
      <c r="AP23" s="23">
        <f t="shared" si="19"/>
        <v>2</v>
      </c>
      <c r="AQ23" s="37"/>
      <c r="AR23" s="23">
        <f t="shared" si="20"/>
        <v>2</v>
      </c>
      <c r="AS23" s="17">
        <f t="shared" si="21"/>
        <v>5200.6941901469108</v>
      </c>
      <c r="AT23" s="17">
        <f t="shared" si="22"/>
        <v>112712.09412632513</v>
      </c>
      <c r="AU23" s="46">
        <f t="shared" si="37"/>
        <v>25900</v>
      </c>
      <c r="AV23" s="17">
        <f t="shared" si="23"/>
        <v>86812.09412632513</v>
      </c>
      <c r="AW23" s="17">
        <f t="shared" si="38"/>
        <v>11256.344742513431</v>
      </c>
      <c r="AX23" s="44">
        <f t="shared" si="39"/>
        <v>0.12</v>
      </c>
      <c r="AY23" s="22">
        <f t="shared" si="3"/>
        <v>0.22</v>
      </c>
      <c r="AZ23" s="12">
        <f t="shared" si="4"/>
        <v>0.24</v>
      </c>
    </row>
    <row r="24" spans="1:52" ht="18.75" thickBot="1" x14ac:dyDescent="0.4">
      <c r="A24" s="5">
        <f t="shared" si="24"/>
        <v>44505</v>
      </c>
      <c r="B24" s="37">
        <f t="shared" si="25"/>
        <v>250611.79972600681</v>
      </c>
      <c r="C24" s="18">
        <f t="shared" si="26"/>
        <v>0.14998034523909032</v>
      </c>
      <c r="D24" s="37">
        <f t="shared" si="27"/>
        <v>217667.16527566817</v>
      </c>
      <c r="E24" s="18">
        <f t="shared" si="28"/>
        <v>0.13026440347561608</v>
      </c>
      <c r="F24" s="37">
        <f t="shared" si="29"/>
        <v>1088483.9125004567</v>
      </c>
      <c r="G24" s="18">
        <f t="shared" si="30"/>
        <v>0.65141064053047915</v>
      </c>
      <c r="H24" s="38">
        <f t="shared" si="8"/>
        <v>114201.40336077352</v>
      </c>
      <c r="I24" s="18">
        <f t="shared" si="9"/>
        <v>6.8344610754814336E-2</v>
      </c>
      <c r="J24" s="17">
        <f t="shared" si="40"/>
        <v>1670964.2808629053</v>
      </c>
      <c r="K24" s="16">
        <f t="shared" si="42"/>
        <v>7478.2775880470872</v>
      </c>
      <c r="L24" s="18">
        <f t="shared" si="31"/>
        <v>4.4955458436829717E-3</v>
      </c>
      <c r="M24" s="19">
        <f t="shared" si="32"/>
        <v>26</v>
      </c>
      <c r="N24" s="50">
        <v>5.0000000000000001E-3</v>
      </c>
      <c r="O24" s="29">
        <f t="shared" si="10"/>
        <v>6.3567796170429597E-2</v>
      </c>
      <c r="P24" s="17">
        <f t="shared" si="0"/>
        <v>106219.51681396164</v>
      </c>
      <c r="Q24" s="20">
        <f t="shared" si="41"/>
        <v>9.5180235729013293E-3</v>
      </c>
      <c r="R24" s="42">
        <f t="shared" si="33"/>
        <v>0.2</v>
      </c>
      <c r="S24" s="17">
        <f t="shared" si="11"/>
        <v>112890.68876362903</v>
      </c>
      <c r="T24" s="42">
        <f t="shared" si="43"/>
        <v>-0.2</v>
      </c>
      <c r="U24" s="17">
        <f t="shared" si="11"/>
        <v>75260.45917575268</v>
      </c>
      <c r="V24" s="42">
        <f t="shared" si="43"/>
        <v>-0.1</v>
      </c>
      <c r="W24" s="42">
        <f t="shared" si="13"/>
        <v>0.1</v>
      </c>
      <c r="X24" s="29">
        <f t="shared" si="14"/>
        <v>6.3567796170429597E-2</v>
      </c>
      <c r="Y24" s="21">
        <f t="shared" si="1"/>
        <v>2.4449152373242152E-3</v>
      </c>
      <c r="Z24" s="17">
        <f t="shared" si="2"/>
        <v>4085.3660313062169</v>
      </c>
      <c r="AA24" s="17">
        <f t="shared" si="44"/>
        <v>91406.844773015939</v>
      </c>
      <c r="AB24" s="44">
        <v>1</v>
      </c>
      <c r="AC24" s="17">
        <f t="shared" si="15"/>
        <v>4085.3660313062169</v>
      </c>
      <c r="AD24" s="17">
        <f t="shared" si="44"/>
        <v>4085.3660313062169</v>
      </c>
      <c r="AE24" s="44">
        <v>0</v>
      </c>
      <c r="AF24" s="17">
        <f t="shared" si="16"/>
        <v>0</v>
      </c>
      <c r="AG24" s="17">
        <f t="shared" si="44"/>
        <v>26196.443622512917</v>
      </c>
      <c r="AH24" s="44">
        <v>0</v>
      </c>
      <c r="AI24" s="17">
        <f t="shared" si="17"/>
        <v>0</v>
      </c>
      <c r="AJ24" s="17">
        <f t="shared" si="35"/>
        <v>61125.0351191968</v>
      </c>
      <c r="AK24" s="37">
        <f t="shared" si="36"/>
        <v>1153.8461538461538</v>
      </c>
      <c r="AL24" s="17">
        <f t="shared" si="44"/>
        <v>26538.461538461532</v>
      </c>
      <c r="AM24" s="37"/>
      <c r="AN24" s="23">
        <f t="shared" si="18"/>
        <v>2</v>
      </c>
      <c r="AO24" s="37"/>
      <c r="AP24" s="23">
        <f t="shared" si="19"/>
        <v>2</v>
      </c>
      <c r="AQ24" s="37"/>
      <c r="AR24" s="23">
        <f t="shared" si="20"/>
        <v>2</v>
      </c>
      <c r="AS24" s="17">
        <f t="shared" si="21"/>
        <v>5239.2121851523707</v>
      </c>
      <c r="AT24" s="17">
        <f t="shared" si="22"/>
        <v>117951.3063114775</v>
      </c>
      <c r="AU24" s="46">
        <f t="shared" si="37"/>
        <v>25900</v>
      </c>
      <c r="AV24" s="17">
        <f t="shared" si="23"/>
        <v>92051.3063114775</v>
      </c>
      <c r="AW24" s="17">
        <f t="shared" si="38"/>
        <v>12408.971423246952</v>
      </c>
      <c r="AX24" s="44">
        <f t="shared" si="39"/>
        <v>0.12</v>
      </c>
      <c r="AY24" s="22">
        <f t="shared" si="3"/>
        <v>0.22</v>
      </c>
      <c r="AZ24" s="12">
        <f t="shared" si="4"/>
        <v>0.24</v>
      </c>
    </row>
    <row r="25" spans="1:52" ht="18.75" thickBot="1" x14ac:dyDescent="0.4">
      <c r="A25" s="5">
        <f t="shared" si="24"/>
        <v>44519</v>
      </c>
      <c r="B25" s="37">
        <f t="shared" si="25"/>
        <v>255926.56938433391</v>
      </c>
      <c r="C25" s="18">
        <f t="shared" si="26"/>
        <v>0.15247531956538352</v>
      </c>
      <c r="D25" s="37">
        <f t="shared" si="27"/>
        <v>218717.82793882574</v>
      </c>
      <c r="E25" s="18">
        <f t="shared" si="28"/>
        <v>0.13030718455627618</v>
      </c>
      <c r="F25" s="37">
        <f t="shared" si="29"/>
        <v>1089632.8548376842</v>
      </c>
      <c r="G25" s="18">
        <f t="shared" si="30"/>
        <v>0.64917885684942545</v>
      </c>
      <c r="H25" s="38">
        <f t="shared" si="8"/>
        <v>114201.40336077352</v>
      </c>
      <c r="I25" s="18">
        <f t="shared" si="9"/>
        <v>6.8038639028914771E-2</v>
      </c>
      <c r="J25" s="17">
        <f t="shared" si="40"/>
        <v>1678478.6555216175</v>
      </c>
      <c r="K25" s="16">
        <f t="shared" si="42"/>
        <v>7514.3746587121859</v>
      </c>
      <c r="L25" s="18">
        <f t="shared" si="31"/>
        <v>4.4970288980873225E-3</v>
      </c>
      <c r="M25" s="19">
        <f t="shared" si="32"/>
        <v>26</v>
      </c>
      <c r="N25" s="50">
        <v>5.0000000000000001E-3</v>
      </c>
      <c r="O25" s="29">
        <f t="shared" si="10"/>
        <v>6.3885635151281733E-2</v>
      </c>
      <c r="P25" s="17">
        <f t="shared" si="0"/>
        <v>107230.67499586796</v>
      </c>
      <c r="Q25" s="20">
        <f t="shared" si="41"/>
        <v>9.519514042577587E-3</v>
      </c>
      <c r="R25" s="42">
        <f t="shared" si="33"/>
        <v>0.2</v>
      </c>
      <c r="S25" s="17">
        <f t="shared" si="11"/>
        <v>112890.68876362903</v>
      </c>
      <c r="T25" s="42">
        <f t="shared" si="43"/>
        <v>-0.2</v>
      </c>
      <c r="U25" s="17">
        <f t="shared" si="11"/>
        <v>75260.45917575268</v>
      </c>
      <c r="V25" s="42">
        <f t="shared" si="43"/>
        <v>-0.1</v>
      </c>
      <c r="W25" s="42">
        <f t="shared" si="13"/>
        <v>0.1</v>
      </c>
      <c r="X25" s="29">
        <f t="shared" si="14"/>
        <v>6.3885635151281733E-2</v>
      </c>
      <c r="Y25" s="21">
        <f t="shared" si="1"/>
        <v>2.4571398135108361E-3</v>
      </c>
      <c r="Z25" s="17">
        <f t="shared" si="2"/>
        <v>4124.2567306103065</v>
      </c>
      <c r="AA25" s="17">
        <f t="shared" si="44"/>
        <v>95531.10150362624</v>
      </c>
      <c r="AB25" s="44">
        <v>1</v>
      </c>
      <c r="AC25" s="17">
        <f t="shared" si="15"/>
        <v>4124.2567306103065</v>
      </c>
      <c r="AD25" s="17">
        <f t="shared" si="44"/>
        <v>8209.6227619165238</v>
      </c>
      <c r="AE25" s="44">
        <v>0</v>
      </c>
      <c r="AF25" s="17">
        <f t="shared" si="16"/>
        <v>0</v>
      </c>
      <c r="AG25" s="17">
        <f t="shared" si="44"/>
        <v>26196.443622512917</v>
      </c>
      <c r="AH25" s="44">
        <v>0</v>
      </c>
      <c r="AI25" s="17">
        <f t="shared" si="17"/>
        <v>0</v>
      </c>
      <c r="AJ25" s="17">
        <f t="shared" si="35"/>
        <v>61125.0351191968</v>
      </c>
      <c r="AK25" s="37">
        <f t="shared" si="36"/>
        <v>1153.8461538461538</v>
      </c>
      <c r="AL25" s="17">
        <f t="shared" si="44"/>
        <v>27692.307692307684</v>
      </c>
      <c r="AM25" s="37"/>
      <c r="AN25" s="23">
        <f t="shared" si="18"/>
        <v>2</v>
      </c>
      <c r="AO25" s="37"/>
      <c r="AP25" s="23">
        <f t="shared" si="19"/>
        <v>2</v>
      </c>
      <c r="AQ25" s="37"/>
      <c r="AR25" s="23">
        <f t="shared" si="20"/>
        <v>2</v>
      </c>
      <c r="AS25" s="17">
        <f t="shared" si="21"/>
        <v>5278.1028844564607</v>
      </c>
      <c r="AT25" s="17">
        <f t="shared" si="22"/>
        <v>123229.40919593396</v>
      </c>
      <c r="AU25" s="46">
        <f t="shared" si="37"/>
        <v>25900</v>
      </c>
      <c r="AV25" s="17">
        <f t="shared" si="23"/>
        <v>97329.409195933957</v>
      </c>
      <c r="AW25" s="17">
        <f t="shared" si="38"/>
        <v>13570.154057827374</v>
      </c>
      <c r="AX25" s="44">
        <f t="shared" si="39"/>
        <v>0.12</v>
      </c>
      <c r="AY25" s="22">
        <f t="shared" si="3"/>
        <v>0.22</v>
      </c>
      <c r="AZ25" s="12">
        <f t="shared" si="4"/>
        <v>0.24</v>
      </c>
    </row>
    <row r="26" spans="1:52" ht="18.75" thickBot="1" x14ac:dyDescent="0.4">
      <c r="A26" s="5">
        <f t="shared" si="24"/>
        <v>44533</v>
      </c>
      <c r="B26" s="37">
        <f t="shared" si="25"/>
        <v>261306.07144869136</v>
      </c>
      <c r="C26" s="18">
        <f t="shared" si="26"/>
        <v>0.15498311400516931</v>
      </c>
      <c r="D26" s="37">
        <f t="shared" si="27"/>
        <v>219773.56206983817</v>
      </c>
      <c r="E26" s="18">
        <f t="shared" si="28"/>
        <v>0.13034978803498623</v>
      </c>
      <c r="F26" s="37">
        <f t="shared" si="29"/>
        <v>1090748.2646094754</v>
      </c>
      <c r="G26" s="18">
        <f t="shared" si="30"/>
        <v>0.64693316044171667</v>
      </c>
      <c r="H26" s="38">
        <f t="shared" si="8"/>
        <v>114201.40336077352</v>
      </c>
      <c r="I26" s="18">
        <f t="shared" si="9"/>
        <v>6.7733937518127757E-2</v>
      </c>
      <c r="J26" s="17">
        <f t="shared" si="40"/>
        <v>1686029.3014887786</v>
      </c>
      <c r="K26" s="16">
        <f t="shared" si="42"/>
        <v>7550.6459671610501</v>
      </c>
      <c r="L26" s="18">
        <f t="shared" si="31"/>
        <v>4.4985058000720007E-3</v>
      </c>
      <c r="M26" s="19">
        <f t="shared" si="32"/>
        <v>26</v>
      </c>
      <c r="N26" s="50">
        <v>3.0000000000000001E-3</v>
      </c>
      <c r="O26" s="29">
        <f t="shared" si="10"/>
        <v>6.4077292056735569E-2</v>
      </c>
      <c r="P26" s="17">
        <f t="shared" si="0"/>
        <v>108036.19196771033</v>
      </c>
      <c r="Q26" s="20">
        <f t="shared" si="41"/>
        <v>7.5120013174719939E-3</v>
      </c>
      <c r="R26" s="42">
        <f t="shared" si="33"/>
        <v>0.2</v>
      </c>
      <c r="S26" s="17">
        <f t="shared" si="11"/>
        <v>112890.68876362903</v>
      </c>
      <c r="T26" s="42">
        <f t="shared" si="43"/>
        <v>-0.2</v>
      </c>
      <c r="U26" s="17">
        <f t="shared" si="11"/>
        <v>75260.45917575268</v>
      </c>
      <c r="V26" s="42">
        <f t="shared" si="43"/>
        <v>-0.1</v>
      </c>
      <c r="W26" s="42">
        <f t="shared" si="13"/>
        <v>0.1</v>
      </c>
      <c r="X26" s="29">
        <f t="shared" si="14"/>
        <v>6.4077292056735569E-2</v>
      </c>
      <c r="Y26" s="21">
        <f t="shared" si="1"/>
        <v>2.4645112329513682E-3</v>
      </c>
      <c r="Z26" s="17">
        <f t="shared" si="2"/>
        <v>4155.2381526042436</v>
      </c>
      <c r="AA26" s="17">
        <f t="shared" si="44"/>
        <v>99686.339656230484</v>
      </c>
      <c r="AB26" s="44">
        <v>0.5</v>
      </c>
      <c r="AC26" s="17">
        <f t="shared" si="15"/>
        <v>2077.6190763021218</v>
      </c>
      <c r="AD26" s="17">
        <f t="shared" si="44"/>
        <v>10287.241838218646</v>
      </c>
      <c r="AE26" s="44">
        <v>0.5</v>
      </c>
      <c r="AF26" s="17">
        <f t="shared" si="16"/>
        <v>2077.6190763021218</v>
      </c>
      <c r="AG26" s="17">
        <f t="shared" si="44"/>
        <v>28274.06269881504</v>
      </c>
      <c r="AH26" s="44">
        <v>0</v>
      </c>
      <c r="AI26" s="17">
        <f t="shared" si="17"/>
        <v>0</v>
      </c>
      <c r="AJ26" s="17">
        <f t="shared" si="35"/>
        <v>61125.0351191968</v>
      </c>
      <c r="AK26" s="37">
        <f t="shared" si="36"/>
        <v>1153.8461538461538</v>
      </c>
      <c r="AL26" s="17">
        <f t="shared" si="44"/>
        <v>28846.153846153837</v>
      </c>
      <c r="AM26" s="37"/>
      <c r="AN26" s="23">
        <f t="shared" si="18"/>
        <v>2</v>
      </c>
      <c r="AO26" s="37"/>
      <c r="AP26" s="23">
        <f t="shared" si="19"/>
        <v>2</v>
      </c>
      <c r="AQ26" s="37"/>
      <c r="AR26" s="23">
        <f t="shared" si="20"/>
        <v>2</v>
      </c>
      <c r="AS26" s="17">
        <f t="shared" si="21"/>
        <v>5309.084306450397</v>
      </c>
      <c r="AT26" s="17">
        <f t="shared" si="22"/>
        <v>128538.49350238436</v>
      </c>
      <c r="AU26" s="46">
        <f t="shared" si="37"/>
        <v>25900</v>
      </c>
      <c r="AV26" s="17">
        <f t="shared" si="23"/>
        <v>102638.49350238436</v>
      </c>
      <c r="AW26" s="17">
        <f t="shared" si="38"/>
        <v>14738.152605246461</v>
      </c>
      <c r="AX26" s="44">
        <f t="shared" si="39"/>
        <v>0.12</v>
      </c>
      <c r="AY26" s="22">
        <f t="shared" si="3"/>
        <v>0.22</v>
      </c>
      <c r="AZ26" s="12">
        <f t="shared" si="4"/>
        <v>0.24</v>
      </c>
    </row>
    <row r="27" spans="1:52" ht="18.75" thickBot="1" x14ac:dyDescent="0.4">
      <c r="A27" s="5">
        <f t="shared" si="24"/>
        <v>44547</v>
      </c>
      <c r="B27" s="37">
        <f t="shared" si="25"/>
        <v>264655.02333887375</v>
      </c>
      <c r="C27" s="18">
        <f t="shared" si="26"/>
        <v>0.15626714020197291</v>
      </c>
      <c r="D27" s="37">
        <f t="shared" si="27"/>
        <v>220834.39214829067</v>
      </c>
      <c r="E27" s="18">
        <f t="shared" si="28"/>
        <v>0.13039298662798343</v>
      </c>
      <c r="F27" s="37">
        <f t="shared" si="29"/>
        <v>1091837.9274114994</v>
      </c>
      <c r="G27" s="18">
        <f t="shared" si="30"/>
        <v>0.64468222944772302</v>
      </c>
      <c r="H27" s="38">
        <f t="shared" si="8"/>
        <v>116279.02243707563</v>
      </c>
      <c r="I27" s="18">
        <f t="shared" si="9"/>
        <v>6.8657643722320652E-2</v>
      </c>
      <c r="J27" s="17">
        <f t="shared" si="40"/>
        <v>1693606.3653357395</v>
      </c>
      <c r="K27" s="16">
        <f t="shared" si="42"/>
        <v>7577.0638469608966</v>
      </c>
      <c r="L27" s="18">
        <f t="shared" si="31"/>
        <v>4.4940285677540024E-3</v>
      </c>
      <c r="M27" s="19">
        <f t="shared" si="32"/>
        <v>26</v>
      </c>
      <c r="N27" s="50">
        <v>3.0000000000000001E-3</v>
      </c>
      <c r="O27" s="29">
        <f t="shared" si="10"/>
        <v>6.4269523932905762E-2</v>
      </c>
      <c r="P27" s="17">
        <f t="shared" si="0"/>
        <v>108847.27482986684</v>
      </c>
      <c r="Q27" s="20">
        <f t="shared" si="41"/>
        <v>7.5075106534570482E-3</v>
      </c>
      <c r="R27" s="42">
        <f t="shared" si="33"/>
        <v>0.2</v>
      </c>
      <c r="S27" s="17">
        <f t="shared" si="11"/>
        <v>112890.68876362903</v>
      </c>
      <c r="T27" s="42">
        <f t="shared" si="43"/>
        <v>-0.2</v>
      </c>
      <c r="U27" s="17">
        <f t="shared" si="11"/>
        <v>75260.45917575268</v>
      </c>
      <c r="V27" s="42">
        <f t="shared" si="43"/>
        <v>-0.1</v>
      </c>
      <c r="W27" s="42">
        <f t="shared" si="13"/>
        <v>0.1</v>
      </c>
      <c r="X27" s="29">
        <f t="shared" si="14"/>
        <v>6.4269523932905762E-2</v>
      </c>
      <c r="Y27" s="21">
        <f t="shared" si="1"/>
        <v>2.4719047666502216E-3</v>
      </c>
      <c r="Z27" s="17">
        <f t="shared" si="2"/>
        <v>4186.4336473025714</v>
      </c>
      <c r="AA27" s="17">
        <f t="shared" si="44"/>
        <v>103872.77330353306</v>
      </c>
      <c r="AB27" s="44">
        <v>0.5</v>
      </c>
      <c r="AC27" s="17">
        <f t="shared" si="15"/>
        <v>2093.2168236512857</v>
      </c>
      <c r="AD27" s="17">
        <f t="shared" si="44"/>
        <v>12380.458661869932</v>
      </c>
      <c r="AE27" s="44">
        <v>0.5</v>
      </c>
      <c r="AF27" s="17">
        <f t="shared" si="16"/>
        <v>2093.2168236512857</v>
      </c>
      <c r="AG27" s="17">
        <f t="shared" si="44"/>
        <v>30367.279522466324</v>
      </c>
      <c r="AH27" s="44">
        <v>0</v>
      </c>
      <c r="AI27" s="17">
        <f t="shared" si="17"/>
        <v>0</v>
      </c>
      <c r="AJ27" s="17">
        <f t="shared" si="35"/>
        <v>61125.0351191968</v>
      </c>
      <c r="AK27" s="37">
        <f t="shared" si="36"/>
        <v>1153.8461538461538</v>
      </c>
      <c r="AL27" s="17">
        <f t="shared" si="44"/>
        <v>29999.999999999989</v>
      </c>
      <c r="AM27" s="37"/>
      <c r="AN27" s="23">
        <f t="shared" si="18"/>
        <v>2</v>
      </c>
      <c r="AO27" s="37"/>
      <c r="AP27" s="23">
        <f t="shared" si="19"/>
        <v>2</v>
      </c>
      <c r="AQ27" s="37"/>
      <c r="AR27" s="23">
        <f t="shared" si="20"/>
        <v>2</v>
      </c>
      <c r="AS27" s="17">
        <f t="shared" si="21"/>
        <v>5340.2798011487248</v>
      </c>
      <c r="AT27" s="17">
        <f t="shared" si="22"/>
        <v>133878.77330353309</v>
      </c>
      <c r="AU27" s="46">
        <f t="shared" si="37"/>
        <v>25900</v>
      </c>
      <c r="AV27" s="17">
        <f t="shared" si="23"/>
        <v>107978.77330353309</v>
      </c>
      <c r="AW27" s="17">
        <f t="shared" si="38"/>
        <v>15913.014161499181</v>
      </c>
      <c r="AX27" s="44">
        <f t="shared" si="39"/>
        <v>0.12</v>
      </c>
      <c r="AY27" s="22">
        <f t="shared" si="3"/>
        <v>0.22</v>
      </c>
      <c r="AZ27" s="12">
        <f t="shared" si="4"/>
        <v>0.24</v>
      </c>
    </row>
    <row r="28" spans="1:52" ht="18.75" thickBot="1" x14ac:dyDescent="0.4">
      <c r="A28" s="5">
        <f t="shared" si="24"/>
        <v>44561</v>
      </c>
      <c r="B28" s="37">
        <f t="shared" si="25"/>
        <v>268035.81339869415</v>
      </c>
      <c r="C28" s="18">
        <f t="shared" si="26"/>
        <v>0.15755599206805013</v>
      </c>
      <c r="D28" s="37">
        <f t="shared" si="27"/>
        <v>221900.34277192954</v>
      </c>
      <c r="E28" s="18">
        <f t="shared" si="28"/>
        <v>0.13043678082550617</v>
      </c>
      <c r="F28" s="37">
        <f t="shared" si="29"/>
        <v>1092901.5038590971</v>
      </c>
      <c r="G28" s="18">
        <f t="shared" si="30"/>
        <v>0.64242601945528999</v>
      </c>
      <c r="H28" s="38">
        <f t="shared" si="8"/>
        <v>118372.23926072691</v>
      </c>
      <c r="I28" s="18">
        <f t="shared" si="9"/>
        <v>6.9581207651153693E-2</v>
      </c>
      <c r="J28" s="17">
        <f t="shared" si="40"/>
        <v>1701209.8992904478</v>
      </c>
      <c r="K28" s="16">
        <f t="shared" si="42"/>
        <v>7603.5339547083713</v>
      </c>
      <c r="L28" s="18">
        <f t="shared" si="31"/>
        <v>4.4895520649516759E-3</v>
      </c>
      <c r="M28" s="19">
        <f t="shared" si="32"/>
        <v>26</v>
      </c>
      <c r="N28" s="50">
        <v>3.0000000000000001E-3</v>
      </c>
      <c r="O28" s="29">
        <f t="shared" si="10"/>
        <v>6.446233250470447E-2</v>
      </c>
      <c r="P28" s="17">
        <f t="shared" si="0"/>
        <v>109663.95818835565</v>
      </c>
      <c r="Q28" s="20">
        <f t="shared" si="41"/>
        <v>7.5030207211464021E-3</v>
      </c>
      <c r="R28" s="42">
        <f t="shared" si="33"/>
        <v>0.2</v>
      </c>
      <c r="S28" s="17">
        <f t="shared" si="11"/>
        <v>112890.68876362903</v>
      </c>
      <c r="T28" s="42">
        <f t="shared" si="43"/>
        <v>-0.2</v>
      </c>
      <c r="U28" s="17">
        <f t="shared" si="11"/>
        <v>75260.45917575268</v>
      </c>
      <c r="V28" s="42">
        <f t="shared" si="43"/>
        <v>-0.1</v>
      </c>
      <c r="W28" s="42">
        <f t="shared" si="13"/>
        <v>0.1</v>
      </c>
      <c r="X28" s="29">
        <f t="shared" si="14"/>
        <v>6.446233250470447E-2</v>
      </c>
      <c r="Y28" s="21">
        <f t="shared" si="1"/>
        <v>2.4793204809501718E-3</v>
      </c>
      <c r="Z28" s="17">
        <f t="shared" si="2"/>
        <v>4217.8445457059861</v>
      </c>
      <c r="AA28" s="17">
        <f t="shared" si="44"/>
        <v>108090.61784923905</v>
      </c>
      <c r="AB28" s="44">
        <v>0.5</v>
      </c>
      <c r="AC28" s="17">
        <f t="shared" si="15"/>
        <v>2108.922272852993</v>
      </c>
      <c r="AD28" s="17">
        <f t="shared" si="44"/>
        <v>14489.380934722925</v>
      </c>
      <c r="AE28" s="44">
        <v>0.5</v>
      </c>
      <c r="AF28" s="17">
        <f t="shared" si="16"/>
        <v>2108.922272852993</v>
      </c>
      <c r="AG28" s="17">
        <f t="shared" si="44"/>
        <v>32476.201795319317</v>
      </c>
      <c r="AH28" s="44">
        <v>0</v>
      </c>
      <c r="AI28" s="17">
        <f t="shared" si="17"/>
        <v>0</v>
      </c>
      <c r="AJ28" s="17">
        <f t="shared" si="35"/>
        <v>61125.0351191968</v>
      </c>
      <c r="AK28" s="47">
        <f t="shared" si="36"/>
        <v>1153.8461538461538</v>
      </c>
      <c r="AL28" s="17">
        <f t="shared" si="44"/>
        <v>31153.846153846142</v>
      </c>
      <c r="AM28" s="47"/>
      <c r="AN28" s="23">
        <f t="shared" si="18"/>
        <v>2</v>
      </c>
      <c r="AO28" s="47"/>
      <c r="AP28" s="23">
        <f t="shared" si="19"/>
        <v>2</v>
      </c>
      <c r="AQ28" s="47"/>
      <c r="AR28" s="23">
        <f t="shared" si="20"/>
        <v>2</v>
      </c>
      <c r="AS28" s="17">
        <f t="shared" si="21"/>
        <v>5371.6906995521404</v>
      </c>
      <c r="AT28" s="17">
        <f t="shared" si="22"/>
        <v>139250.46400308525</v>
      </c>
      <c r="AU28" s="46">
        <f t="shared" si="37"/>
        <v>25900</v>
      </c>
      <c r="AV28" s="17">
        <f t="shared" si="23"/>
        <v>113350.46400308525</v>
      </c>
      <c r="AW28" s="17">
        <f t="shared" si="38"/>
        <v>17094.786115400653</v>
      </c>
      <c r="AX28" s="44">
        <f t="shared" si="39"/>
        <v>0.12</v>
      </c>
      <c r="AY28" s="22">
        <f t="shared" si="3"/>
        <v>0.22</v>
      </c>
      <c r="AZ28" s="12">
        <f t="shared" si="4"/>
        <v>0.24</v>
      </c>
    </row>
    <row r="29" spans="1:52" ht="18.75" thickBot="1" x14ac:dyDescent="0.4">
      <c r="A29" s="51" t="s">
        <v>13</v>
      </c>
      <c r="Y29" s="52">
        <f>SUM(Y2:Y28)</f>
        <v>6.731139630661491E-2</v>
      </c>
      <c r="Z29" s="31">
        <f>SUM(Z2:Z28)</f>
        <v>108090.61784923905</v>
      </c>
      <c r="AC29" s="27">
        <f>SUM(AC2:AC28)</f>
        <v>14489.380934722925</v>
      </c>
      <c r="AF29" s="31">
        <f>SUM(AF2:AF28)</f>
        <v>32476.201795319317</v>
      </c>
      <c r="AI29" s="31">
        <f>SUM(AI2:AI28)</f>
        <v>61125.0351191968</v>
      </c>
      <c r="AK29" s="27">
        <f>SUM(AK2:AK28)</f>
        <v>31153.846153846142</v>
      </c>
      <c r="AM29" s="31">
        <f>SUM(AM2:AM28)</f>
        <v>2</v>
      </c>
      <c r="AO29" s="31">
        <f>SUM(AO2:AO28)</f>
        <v>2</v>
      </c>
      <c r="AQ29" s="31">
        <f>SUM(AQ2:AQ28)</f>
        <v>2</v>
      </c>
      <c r="AS29" s="27">
        <f>SUM(AS2:AS28)</f>
        <v>139250.46400308519</v>
      </c>
    </row>
    <row r="31" spans="1:52" x14ac:dyDescent="0.3">
      <c r="A31" s="24"/>
    </row>
    <row r="32" spans="1:52" x14ac:dyDescent="0.3">
      <c r="K32" s="28"/>
    </row>
  </sheetData>
  <conditionalFormatting sqref="AY2:AZ28">
    <cfRule type="cellIs" dxfId="7" priority="1" operator="greaterThan">
      <formula>$AX$2</formula>
    </cfRule>
    <cfRule type="cellIs" dxfId="6" priority="2" operator="greaterThan">
      <formula>"2$AS$2"</formula>
    </cfRule>
  </conditionalFormatting>
  <pageMargins left="0.75" right="0.75" top="0.75" bottom="0.5" header="0.5" footer="0.75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BE080-0BCE-4D06-9092-B7F91969C9AA}">
  <sheetPr>
    <tabColor rgb="FF00B0F0"/>
  </sheetPr>
  <dimension ref="A1:BD34"/>
  <sheetViews>
    <sheetView workbookViewId="0"/>
  </sheetViews>
  <sheetFormatPr defaultColWidth="13.28515625" defaultRowHeight="16.5" x14ac:dyDescent="0.3"/>
  <cols>
    <col min="1" max="1" width="14" style="1" bestFit="1" customWidth="1"/>
    <col min="2" max="2" width="16.85546875" style="24" bestFit="1" customWidth="1"/>
    <col min="3" max="3" width="9.28515625" style="24" bestFit="1" customWidth="1"/>
    <col min="4" max="4" width="16.85546875" style="24" bestFit="1" customWidth="1"/>
    <col min="5" max="5" width="10.7109375" style="24" bestFit="1" customWidth="1"/>
    <col min="6" max="6" width="19.28515625" style="24" bestFit="1" customWidth="1"/>
    <col min="7" max="7" width="15.7109375" style="24" bestFit="1" customWidth="1"/>
    <col min="8" max="8" width="16.85546875" style="24" bestFit="1" customWidth="1"/>
    <col min="9" max="9" width="7.85546875" style="24" bestFit="1" customWidth="1"/>
    <col min="10" max="10" width="19.28515625" style="24" bestFit="1" customWidth="1"/>
    <col min="11" max="11" width="16.42578125" style="24" bestFit="1" customWidth="1"/>
    <col min="12" max="12" width="7.85546875" style="24" bestFit="1" customWidth="1"/>
    <col min="13" max="13" width="8.5703125" style="24" customWidth="1"/>
    <col min="14" max="14" width="7.85546875" style="24" bestFit="1" customWidth="1"/>
    <col min="15" max="15" width="13" style="24" bestFit="1" customWidth="1"/>
    <col min="16" max="16" width="16.85546875" style="24" bestFit="1" customWidth="1"/>
    <col min="17" max="17" width="13" style="24" bestFit="1" customWidth="1"/>
    <col min="18" max="18" width="9.140625" style="24" bestFit="1" customWidth="1"/>
    <col min="19" max="19" width="16.85546875" style="24" bestFit="1" customWidth="1"/>
    <col min="20" max="20" width="10.42578125" style="24" bestFit="1" customWidth="1"/>
    <col min="21" max="21" width="15.5703125" style="24" bestFit="1" customWidth="1"/>
    <col min="22" max="22" width="10.42578125" style="24" bestFit="1" customWidth="1"/>
    <col min="23" max="23" width="11" style="24" bestFit="1" customWidth="1"/>
    <col min="24" max="25" width="13.140625" style="24" bestFit="1" customWidth="1"/>
    <col min="26" max="27" width="16.85546875" style="24" bestFit="1" customWidth="1"/>
    <col min="28" max="28" width="7.7109375" style="24" bestFit="1" customWidth="1"/>
    <col min="29" max="30" width="15.5703125" style="24" bestFit="1" customWidth="1"/>
    <col min="31" max="31" width="7.28515625" style="24" bestFit="1" customWidth="1"/>
    <col min="32" max="33" width="15.5703125" style="24" bestFit="1" customWidth="1"/>
    <col min="34" max="34" width="7.140625" style="24" bestFit="1" customWidth="1"/>
    <col min="35" max="38" width="15.5703125" style="24" bestFit="1" customWidth="1"/>
    <col min="39" max="40" width="9.85546875" style="24" bestFit="1" customWidth="1"/>
    <col min="41" max="42" width="11.85546875" style="24" bestFit="1" customWidth="1"/>
    <col min="43" max="44" width="9.28515625" style="24" bestFit="1" customWidth="1"/>
    <col min="45" max="46" width="16.85546875" style="24" bestFit="1" customWidth="1"/>
    <col min="47" max="47" width="15.5703125" style="24" bestFit="1" customWidth="1"/>
    <col min="48" max="48" width="16.85546875" style="24" bestFit="1" customWidth="1"/>
    <col min="49" max="49" width="16.42578125" style="24" bestFit="1" customWidth="1"/>
    <col min="50" max="50" width="8.140625" style="24" bestFit="1" customWidth="1"/>
    <col min="51" max="52" width="5.5703125" style="24" bestFit="1" customWidth="1"/>
    <col min="53" max="53" width="8.42578125" style="24" customWidth="1"/>
    <col min="54" max="54" width="6" style="24" bestFit="1" customWidth="1"/>
    <col min="55" max="55" width="15.7109375" style="24" bestFit="1" customWidth="1"/>
    <col min="56" max="56" width="18.7109375" style="24" bestFit="1" customWidth="1"/>
    <col min="57" max="57" width="23.85546875" style="1" bestFit="1" customWidth="1"/>
    <col min="58" max="16384" width="13.28515625" style="1"/>
  </cols>
  <sheetData>
    <row r="1" spans="1:56" s="2" customFormat="1" ht="54.75" thickBot="1" x14ac:dyDescent="0.35">
      <c r="A1" s="3" t="s">
        <v>5</v>
      </c>
      <c r="B1" s="3" t="s">
        <v>1</v>
      </c>
      <c r="C1" s="3" t="s">
        <v>1</v>
      </c>
      <c r="D1" s="3" t="s">
        <v>4</v>
      </c>
      <c r="E1" s="3" t="s">
        <v>4</v>
      </c>
      <c r="F1" s="3" t="s">
        <v>3</v>
      </c>
      <c r="G1" s="3" t="s">
        <v>3</v>
      </c>
      <c r="H1" s="3" t="s">
        <v>0</v>
      </c>
      <c r="I1" s="3" t="s">
        <v>0</v>
      </c>
      <c r="J1" s="3" t="s">
        <v>9</v>
      </c>
      <c r="K1" s="3" t="s">
        <v>11</v>
      </c>
      <c r="L1" s="3" t="s">
        <v>11</v>
      </c>
      <c r="M1" s="3" t="s">
        <v>31</v>
      </c>
      <c r="N1" s="3" t="s">
        <v>24</v>
      </c>
      <c r="O1" s="39" t="s">
        <v>15</v>
      </c>
      <c r="P1" s="3" t="s">
        <v>15</v>
      </c>
      <c r="Q1" s="3" t="s">
        <v>28</v>
      </c>
      <c r="R1" s="3" t="s">
        <v>16</v>
      </c>
      <c r="S1" s="3" t="s">
        <v>16</v>
      </c>
      <c r="T1" s="3" t="s">
        <v>17</v>
      </c>
      <c r="U1" s="3" t="s">
        <v>19</v>
      </c>
      <c r="V1" s="3" t="s">
        <v>29</v>
      </c>
      <c r="W1" s="3" t="s">
        <v>30</v>
      </c>
      <c r="X1" s="3" t="s">
        <v>18</v>
      </c>
      <c r="Y1" s="3" t="s">
        <v>32</v>
      </c>
      <c r="Z1" s="3" t="s">
        <v>10</v>
      </c>
      <c r="AA1" s="3" t="s">
        <v>27</v>
      </c>
      <c r="AB1" s="3" t="s">
        <v>7</v>
      </c>
      <c r="AC1" s="3" t="s">
        <v>7</v>
      </c>
      <c r="AD1" s="3" t="s">
        <v>26</v>
      </c>
      <c r="AE1" s="3" t="s">
        <v>39</v>
      </c>
      <c r="AF1" s="3" t="s">
        <v>39</v>
      </c>
      <c r="AG1" s="3" t="s">
        <v>40</v>
      </c>
      <c r="AH1" s="3" t="s">
        <v>41</v>
      </c>
      <c r="AI1" s="3" t="s">
        <v>41</v>
      </c>
      <c r="AJ1" s="3" t="s">
        <v>42</v>
      </c>
      <c r="AK1" s="3" t="s">
        <v>2</v>
      </c>
      <c r="AL1" s="3" t="s">
        <v>25</v>
      </c>
      <c r="AM1" s="3" t="s">
        <v>8</v>
      </c>
      <c r="AN1" s="3" t="s">
        <v>35</v>
      </c>
      <c r="AO1" s="3" t="s">
        <v>12</v>
      </c>
      <c r="AP1" s="3" t="s">
        <v>36</v>
      </c>
      <c r="AQ1" s="3" t="s">
        <v>37</v>
      </c>
      <c r="AR1" s="3" t="s">
        <v>37</v>
      </c>
      <c r="AS1" s="3" t="s">
        <v>64</v>
      </c>
      <c r="AT1" s="3" t="s">
        <v>33</v>
      </c>
      <c r="AU1" s="3" t="s">
        <v>38</v>
      </c>
      <c r="AV1" s="3" t="s">
        <v>34</v>
      </c>
      <c r="AW1" s="3" t="s">
        <v>63</v>
      </c>
      <c r="AX1" s="3" t="s">
        <v>6</v>
      </c>
      <c r="AY1" s="3" t="s">
        <v>22</v>
      </c>
      <c r="AZ1" s="3" t="s">
        <v>23</v>
      </c>
      <c r="BA1" s="6"/>
      <c r="BB1" s="3" t="s">
        <v>14</v>
      </c>
      <c r="BC1" s="3" t="s">
        <v>20</v>
      </c>
      <c r="BD1" s="3" t="s">
        <v>21</v>
      </c>
    </row>
    <row r="2" spans="1:56" s="4" customFormat="1" ht="18.75" thickBot="1" x14ac:dyDescent="0.4">
      <c r="A2" s="34">
        <v>44562</v>
      </c>
      <c r="B2" s="35">
        <f>'GK Cash Flow 2021'!B28</f>
        <v>268035.81339869415</v>
      </c>
      <c r="C2" s="10">
        <f>IF(J2&lt;=0,0,B2/J2)</f>
        <v>0.15755599206805013</v>
      </c>
      <c r="D2" s="35">
        <f>'GK Cash Flow 2021'!D28</f>
        <v>221900.34277192954</v>
      </c>
      <c r="E2" s="10">
        <f>IF(J2&lt;=0,0,D2/J2)</f>
        <v>0.13043678082550617</v>
      </c>
      <c r="F2" s="35">
        <f>'GK Cash Flow 2021'!F28</f>
        <v>1092901.5038590971</v>
      </c>
      <c r="G2" s="10">
        <f>IF(J2&lt;=0,0,F2/J2)</f>
        <v>0.64242601945528999</v>
      </c>
      <c r="H2" s="35">
        <f>'GK Cash Flow 2021'!H28</f>
        <v>118372.23926072691</v>
      </c>
      <c r="I2" s="10">
        <f>IF(J2&lt;=0,0,H2/J2)</f>
        <v>6.9581207651153693E-2</v>
      </c>
      <c r="J2" s="9">
        <f>B2+D2+F2+H2</f>
        <v>1701209.8992904478</v>
      </c>
      <c r="K2" s="7">
        <v>0</v>
      </c>
      <c r="L2" s="10">
        <v>0</v>
      </c>
      <c r="M2" s="48">
        <v>26</v>
      </c>
      <c r="N2" s="49">
        <v>8.0000000000000002E-3</v>
      </c>
      <c r="O2" s="40">
        <f>'GK Cash Flow 2021'!Y29</f>
        <v>6.731139630661491E-2</v>
      </c>
      <c r="P2" s="9">
        <f t="shared" ref="P2:P28" si="0">J2*O2</f>
        <v>114510.81373187577</v>
      </c>
      <c r="Q2" s="8">
        <v>0</v>
      </c>
      <c r="R2" s="41">
        <v>0.2</v>
      </c>
      <c r="S2" s="9">
        <f>IF($P$2&gt;0,$P$2+$P$2*R2)</f>
        <v>137412.97647825093</v>
      </c>
      <c r="T2" s="41">
        <v>-0.2</v>
      </c>
      <c r="U2" s="9">
        <f>IF($P$2&gt;0,$P$2+$P$2*T2)</f>
        <v>91608.650985500615</v>
      </c>
      <c r="V2" s="41">
        <v>-0.1</v>
      </c>
      <c r="W2" s="41">
        <v>0.1</v>
      </c>
      <c r="X2" s="30">
        <f>O2</f>
        <v>6.731139630661491E-2</v>
      </c>
      <c r="Y2" s="11">
        <f t="shared" ref="Y2:Y28" si="1">X2/M2</f>
        <v>2.5888998579467271E-3</v>
      </c>
      <c r="Z2" s="9">
        <f t="shared" ref="Z2:Z28" si="2">Y2*J2</f>
        <v>4404.2620666106059</v>
      </c>
      <c r="AA2" s="9">
        <f>Z2</f>
        <v>4404.2620666106059</v>
      </c>
      <c r="AB2" s="43">
        <v>0</v>
      </c>
      <c r="AC2" s="9">
        <f>Z2*AB2</f>
        <v>0</v>
      </c>
      <c r="AD2" s="9">
        <f>AC2</f>
        <v>0</v>
      </c>
      <c r="AE2" s="43">
        <v>0.3</v>
      </c>
      <c r="AF2" s="9">
        <f>Z2*AE2</f>
        <v>1321.2786199831817</v>
      </c>
      <c r="AG2" s="9">
        <f>AF2</f>
        <v>1321.2786199831817</v>
      </c>
      <c r="AH2" s="43">
        <v>0.7</v>
      </c>
      <c r="AI2" s="9">
        <f>Z2*AH2</f>
        <v>3082.9834466274237</v>
      </c>
      <c r="AJ2" s="9">
        <f>AI2</f>
        <v>3082.9834466274237</v>
      </c>
      <c r="AK2" s="36">
        <f>30000/M2</f>
        <v>1153.8461538461538</v>
      </c>
      <c r="AL2" s="9">
        <f>AK2</f>
        <v>1153.8461538461538</v>
      </c>
      <c r="AM2" s="36">
        <v>1</v>
      </c>
      <c r="AN2" s="13">
        <f>AM2</f>
        <v>1</v>
      </c>
      <c r="AO2" s="36">
        <v>1</v>
      </c>
      <c r="AP2" s="13">
        <f>AO2</f>
        <v>1</v>
      </c>
      <c r="AQ2" s="36">
        <v>1</v>
      </c>
      <c r="AR2" s="13">
        <f>AQ2</f>
        <v>1</v>
      </c>
      <c r="AS2" s="9">
        <f>Z2+AK2+AM2+AO2+AQ2</f>
        <v>5561.1082204567592</v>
      </c>
      <c r="AT2" s="9">
        <f>Z2+AK2+AM2+AO2+AQ2</f>
        <v>5561.1082204567592</v>
      </c>
      <c r="AU2" s="45">
        <v>25900</v>
      </c>
      <c r="AV2" s="9">
        <f t="shared" ref="AV2:AV28" si="3">AT2-AU2</f>
        <v>-20338.891779543243</v>
      </c>
      <c r="AW2" s="9">
        <f>AS2*AY2</f>
        <v>0</v>
      </c>
      <c r="AX2" s="43">
        <v>0.12</v>
      </c>
      <c r="AY2" s="12">
        <f t="shared" ref="AY2:AY27" si="4">IF(AV2&lt;$BC$2,0,IF(AV2&lt;$BC$3,$BB$2,IF(AV2&lt;$BC$4,$BB$3,IF(AV2&lt;$BC$5,$BB$4,IF(AV2&lt;$BC$6,$BB$5,IF(AV2&lt;$BC$7,$BB$6,IF(AV2&lt;$BC$8,$BB$7,$BB$8)))))))</f>
        <v>0</v>
      </c>
      <c r="AZ2" s="12">
        <f>IF(AV2&lt;$BD$2,0,IF(AV2&lt;$BD$3,$BB$2,IF(AV2&lt;$BD$4,$BB$3,IF(AV2&lt;$BD$5,$BB$4,IF(AV2&lt;$BD$6,$BB$5,IF(AV2&lt;$BD$7,$BB$6,IF(AV2&lt;$BD$8,$BB$7,$BB$8)))))))</f>
        <v>0</v>
      </c>
      <c r="BA2" s="14"/>
      <c r="BB2" s="12">
        <v>0.1</v>
      </c>
      <c r="BC2" s="15">
        <v>0</v>
      </c>
      <c r="BD2" s="15">
        <v>0</v>
      </c>
    </row>
    <row r="3" spans="1:56" ht="18.75" thickBot="1" x14ac:dyDescent="0.4">
      <c r="A3" s="5">
        <f>A2+FLOOR(365/$M$2,1)</f>
        <v>44576</v>
      </c>
      <c r="B3" s="37">
        <f>(B2+AC2)*(1-0.172/M3)</f>
        <v>266262.65340236435</v>
      </c>
      <c r="C3" s="18">
        <f t="shared" ref="C3" si="5">IF(J3&lt;=0,0,B3/J3)</f>
        <v>0.15748220472277022</v>
      </c>
      <c r="D3" s="37">
        <f>D2*(1-0.172/M3)</f>
        <v>220432.38665820754</v>
      </c>
      <c r="E3" s="18">
        <f t="shared" ref="E3" si="6">IF(J3&lt;=0,0,D3/J3)</f>
        <v>0.13037569407369404</v>
      </c>
      <c r="F3" s="37">
        <f>(F2-(AC2+AF2))*(1-0.172/M3)</f>
        <v>1084359.0022106091</v>
      </c>
      <c r="G3" s="18">
        <f t="shared" ref="G3" si="7">IF(J3&lt;=0,0,F3/J3)</f>
        <v>0.64134884932981595</v>
      </c>
      <c r="H3" s="38">
        <f t="shared" ref="H3" si="8">H2+AF2</f>
        <v>119693.51788071009</v>
      </c>
      <c r="I3" s="18">
        <f t="shared" ref="I3" si="9">IF(J3&lt;=0,0,H3/J3)</f>
        <v>7.079325187371982E-2</v>
      </c>
      <c r="J3" s="17">
        <f>B3+D3+F3+H3</f>
        <v>1690747.5601518911</v>
      </c>
      <c r="K3" s="16">
        <f>IF(J3=0,0,J3-J2)</f>
        <v>-10462.339138556737</v>
      </c>
      <c r="L3" s="18">
        <f>IF(J3=0,0,K3/J2)</f>
        <v>-6.1499401942819876E-3</v>
      </c>
      <c r="M3" s="19">
        <f>M2</f>
        <v>26</v>
      </c>
      <c r="N3" s="50">
        <v>8.0000000000000002E-3</v>
      </c>
      <c r="O3" s="29">
        <f t="shared" ref="O3:O28" si="10">IF(J3=0,0,X2*(1+N3))</f>
        <v>6.7849887477067827E-2</v>
      </c>
      <c r="P3" s="17">
        <f t="shared" si="0"/>
        <v>114717.03170843278</v>
      </c>
      <c r="Q3" s="20">
        <f>IF(P3=0,0,(P3-P2)/P2)</f>
        <v>1.8008602841638381E-3</v>
      </c>
      <c r="R3" s="42">
        <f>R2</f>
        <v>0.2</v>
      </c>
      <c r="S3" s="17">
        <f t="shared" ref="S3:U28" si="11">IF($P$2&gt;0,$P$2+$P$2*R3)</f>
        <v>137412.97647825093</v>
      </c>
      <c r="T3" s="42">
        <f t="shared" ref="T3:V18" si="12">T2</f>
        <v>-0.2</v>
      </c>
      <c r="U3" s="17">
        <f t="shared" si="11"/>
        <v>91608.650985500615</v>
      </c>
      <c r="V3" s="42">
        <f t="shared" si="12"/>
        <v>-0.1</v>
      </c>
      <c r="W3" s="42">
        <f t="shared" ref="W3:W28" si="13">W2</f>
        <v>0.1</v>
      </c>
      <c r="X3" s="29">
        <f t="shared" ref="X3:X28" si="14">IF(P3&gt;S3,O3+O3*V3,IF(P3&lt;U3,O3+O3*W3,O3))</f>
        <v>6.7849887477067827E-2</v>
      </c>
      <c r="Y3" s="21">
        <f t="shared" si="1"/>
        <v>2.6096110568103012E-3</v>
      </c>
      <c r="Z3" s="17">
        <f t="shared" si="2"/>
        <v>4412.1935272474147</v>
      </c>
      <c r="AA3" s="17">
        <f>AA2+Z3</f>
        <v>8816.4555938580197</v>
      </c>
      <c r="AB3" s="44">
        <v>0</v>
      </c>
      <c r="AC3" s="17">
        <f t="shared" ref="AC3:AC28" si="15">Z3*AB3</f>
        <v>0</v>
      </c>
      <c r="AD3" s="17">
        <f>AD2+AC3</f>
        <v>0</v>
      </c>
      <c r="AE3" s="44">
        <v>0.3</v>
      </c>
      <c r="AF3" s="17">
        <f t="shared" ref="AF3:AF28" si="16">Z3*AE3</f>
        <v>1323.6580581742244</v>
      </c>
      <c r="AG3" s="17">
        <f>AG2+AF3</f>
        <v>2644.9366781574063</v>
      </c>
      <c r="AH3" s="44">
        <v>0.7</v>
      </c>
      <c r="AI3" s="17">
        <f t="shared" ref="AI3:AI28" si="17">Z3*AH3</f>
        <v>3088.5354690731901</v>
      </c>
      <c r="AJ3" s="17">
        <f>AJ2+AI3</f>
        <v>6171.5189157006134</v>
      </c>
      <c r="AK3" s="37">
        <f>AK2</f>
        <v>1153.8461538461538</v>
      </c>
      <c r="AL3" s="17">
        <f>AL2+AK3</f>
        <v>2307.6923076923076</v>
      </c>
      <c r="AM3" s="37">
        <v>1</v>
      </c>
      <c r="AN3" s="23">
        <f t="shared" ref="AN3:AN28" si="18">AN2+AM3</f>
        <v>2</v>
      </c>
      <c r="AO3" s="37">
        <v>1</v>
      </c>
      <c r="AP3" s="23">
        <f t="shared" ref="AP3:AP28" si="19">AP2+AO3</f>
        <v>2</v>
      </c>
      <c r="AQ3" s="37">
        <v>1</v>
      </c>
      <c r="AR3" s="23">
        <f t="shared" ref="AR3:AR27" si="20">AR2+AQ3</f>
        <v>2</v>
      </c>
      <c r="AS3" s="17">
        <f t="shared" ref="AS3:AS28" si="21">Z3+AK3+AM3+AO3+AQ3</f>
        <v>5569.039681093569</v>
      </c>
      <c r="AT3" s="17">
        <f t="shared" ref="AT3:AT27" si="22">AT2+Z3+AK3+AM3+AO3+AQ3</f>
        <v>11130.147901550328</v>
      </c>
      <c r="AU3" s="46">
        <f>AU2</f>
        <v>25900</v>
      </c>
      <c r="AV3" s="17">
        <f t="shared" si="3"/>
        <v>-14769.852098449672</v>
      </c>
      <c r="AW3" s="17">
        <f>AW2+(AS3*AY3)</f>
        <v>0</v>
      </c>
      <c r="AX3" s="44">
        <f>AX2</f>
        <v>0.12</v>
      </c>
      <c r="AY3" s="22">
        <f t="shared" si="4"/>
        <v>0</v>
      </c>
      <c r="AZ3" s="12">
        <f t="shared" ref="AZ3:AZ27" si="23">IF(AV3&lt;$BD$2,0,IF(AV3&lt;$BD$3,$BB$2,IF(AV3&lt;$BD$4,$BB$3,IF(AV3&lt;$BD$5,$BB$4,IF(AV3&lt;$BD$6,$BB$5,IF(AV3&lt;$BD$7,$BB$6,IF(AV3&lt;$BD$8,$BB$7,$BB$8)))))))</f>
        <v>0</v>
      </c>
      <c r="BB3" s="22">
        <v>0.12</v>
      </c>
      <c r="BC3" s="25">
        <v>20550</v>
      </c>
      <c r="BD3" s="25">
        <v>10275</v>
      </c>
    </row>
    <row r="4" spans="1:56" ht="18.75" thickBot="1" x14ac:dyDescent="0.4">
      <c r="A4" s="5">
        <f t="shared" ref="A4:A28" si="24">A3+FLOOR(365/$M$2,1)</f>
        <v>44590</v>
      </c>
      <c r="B4" s="37">
        <f t="shared" ref="B4:B28" si="25">(B3+AC3)*(1-0.172/M4)</f>
        <v>264501.22354139487</v>
      </c>
      <c r="C4" s="18">
        <f t="shared" ref="C4:C28" si="26">IF(J4&lt;=0,0,B4/J4)</f>
        <v>0.15740717550134103</v>
      </c>
      <c r="D4" s="37">
        <f t="shared" ref="D4:D28" si="27">D3*(1-0.172/M4)</f>
        <v>218974.14163877635</v>
      </c>
      <c r="E4" s="18">
        <f t="shared" ref="E4:E28" si="28">IF(J4&lt;=0,0,D4/J4)</f>
        <v>0.13031357920276715</v>
      </c>
      <c r="F4" s="37">
        <f t="shared" ref="F4:F28" si="29">(F3-(AC3+AF3))*(1-0.172/M4)</f>
        <v>1075870.6487988112</v>
      </c>
      <c r="G4" s="18">
        <f t="shared" ref="G4:G28" si="30">IF(J4&lt;=0,0,F4/J4)</f>
        <v>0.64026078127276642</v>
      </c>
      <c r="H4" s="38">
        <f t="shared" ref="H4:H28" si="31">H3+AF3</f>
        <v>121017.17593888432</v>
      </c>
      <c r="I4" s="18">
        <f t="shared" ref="I4:I23" si="32">IF(J4&lt;=0,0,H4/J4)</f>
        <v>7.201846402312552E-2</v>
      </c>
      <c r="J4" s="17">
        <f>B4+D4+F4+H4</f>
        <v>1680363.1899178666</v>
      </c>
      <c r="K4" s="16">
        <f>IF(J4=0,0,J4-J3)</f>
        <v>-10384.370234024478</v>
      </c>
      <c r="L4" s="18">
        <f t="shared" ref="L4:L28" si="33">IF(J4=0,0,K4/J3)</f>
        <v>-6.1418809518149365E-3</v>
      </c>
      <c r="M4" s="19">
        <f t="shared" ref="M4:M28" si="34">M3</f>
        <v>26</v>
      </c>
      <c r="N4" s="50">
        <v>8.0000000000000002E-3</v>
      </c>
      <c r="O4" s="29">
        <f t="shared" si="10"/>
        <v>6.8392686576884368E-2</v>
      </c>
      <c r="P4" s="17">
        <f t="shared" si="0"/>
        <v>114924.55298338627</v>
      </c>
      <c r="Q4" s="20">
        <f>IF(P4=0,0,(P4-P3)/P3)</f>
        <v>1.8089840005704155E-3</v>
      </c>
      <c r="R4" s="42">
        <f t="shared" ref="R4:R28" si="35">R3</f>
        <v>0.2</v>
      </c>
      <c r="S4" s="17">
        <f t="shared" si="11"/>
        <v>137412.97647825093</v>
      </c>
      <c r="T4" s="42">
        <f t="shared" si="12"/>
        <v>-0.2</v>
      </c>
      <c r="U4" s="17">
        <f t="shared" si="11"/>
        <v>91608.650985500615</v>
      </c>
      <c r="V4" s="42">
        <f t="shared" si="12"/>
        <v>-0.1</v>
      </c>
      <c r="W4" s="42">
        <f t="shared" si="13"/>
        <v>0.1</v>
      </c>
      <c r="X4" s="29">
        <f t="shared" si="14"/>
        <v>6.8392686576884368E-2</v>
      </c>
      <c r="Y4" s="21">
        <f t="shared" si="1"/>
        <v>2.6304879452647835E-3</v>
      </c>
      <c r="Z4" s="17">
        <f t="shared" si="2"/>
        <v>4420.1751147456262</v>
      </c>
      <c r="AA4" s="17">
        <f t="shared" ref="AA4:AL19" si="36">AA3+Z4</f>
        <v>13236.630708603647</v>
      </c>
      <c r="AB4" s="44">
        <v>0</v>
      </c>
      <c r="AC4" s="17">
        <f t="shared" si="15"/>
        <v>0</v>
      </c>
      <c r="AD4" s="17">
        <f t="shared" si="36"/>
        <v>0</v>
      </c>
      <c r="AE4" s="44">
        <v>0.3</v>
      </c>
      <c r="AF4" s="17">
        <f t="shared" si="16"/>
        <v>1326.0525344236878</v>
      </c>
      <c r="AG4" s="17">
        <f t="shared" si="36"/>
        <v>3970.9892125810939</v>
      </c>
      <c r="AH4" s="44">
        <v>0.7</v>
      </c>
      <c r="AI4" s="17">
        <f t="shared" si="17"/>
        <v>3094.1225803219381</v>
      </c>
      <c r="AJ4" s="17">
        <f t="shared" ref="AJ4:AJ28" si="37">AJ3+AI4</f>
        <v>9265.641496022552</v>
      </c>
      <c r="AK4" s="37">
        <f t="shared" ref="AK4:AK28" si="38">AK3</f>
        <v>1153.8461538461538</v>
      </c>
      <c r="AL4" s="17">
        <f t="shared" si="36"/>
        <v>3461.5384615384614</v>
      </c>
      <c r="AM4" s="37"/>
      <c r="AN4" s="23">
        <f t="shared" si="18"/>
        <v>2</v>
      </c>
      <c r="AO4" s="37"/>
      <c r="AP4" s="23">
        <f t="shared" si="19"/>
        <v>2</v>
      </c>
      <c r="AQ4" s="37"/>
      <c r="AR4" s="23">
        <f t="shared" si="20"/>
        <v>2</v>
      </c>
      <c r="AS4" s="17">
        <f t="shared" si="21"/>
        <v>5574.0212685917795</v>
      </c>
      <c r="AT4" s="17">
        <f t="shared" si="22"/>
        <v>16704.169170142108</v>
      </c>
      <c r="AU4" s="46">
        <f t="shared" ref="AU4:AU28" si="39">AU3</f>
        <v>25900</v>
      </c>
      <c r="AV4" s="17">
        <f t="shared" si="3"/>
        <v>-9195.8308298578922</v>
      </c>
      <c r="AW4" s="17">
        <f t="shared" ref="AW4:AW28" si="40">AW3+(AS4*AY4)</f>
        <v>0</v>
      </c>
      <c r="AX4" s="44">
        <f t="shared" ref="AX4:AX28" si="41">AX3</f>
        <v>0.12</v>
      </c>
      <c r="AY4" s="22">
        <f t="shared" si="4"/>
        <v>0</v>
      </c>
      <c r="AZ4" s="12">
        <f t="shared" si="23"/>
        <v>0</v>
      </c>
      <c r="BB4" s="22">
        <v>0.22</v>
      </c>
      <c r="BC4" s="25">
        <v>83550</v>
      </c>
      <c r="BD4" s="25">
        <v>41775</v>
      </c>
    </row>
    <row r="5" spans="1:56" ht="18.75" thickBot="1" x14ac:dyDescent="0.4">
      <c r="A5" s="5">
        <f t="shared" si="24"/>
        <v>44604</v>
      </c>
      <c r="B5" s="37">
        <f t="shared" si="25"/>
        <v>262751.44621642871</v>
      </c>
      <c r="C5" s="18">
        <f t="shared" si="26"/>
        <v>0.15733089238044165</v>
      </c>
      <c r="D5" s="37">
        <f t="shared" si="27"/>
        <v>217525.54347101215</v>
      </c>
      <c r="E5" s="18">
        <f t="shared" si="28"/>
        <v>0.13025042625890995</v>
      </c>
      <c r="F5" s="37">
        <f t="shared" si="29"/>
        <v>1067436.0704737154</v>
      </c>
      <c r="G5" s="18">
        <f t="shared" si="30"/>
        <v>0.63916173229497164</v>
      </c>
      <c r="H5" s="38">
        <f t="shared" si="31"/>
        <v>122343.228473308</v>
      </c>
      <c r="I5" s="18">
        <f t="shared" si="32"/>
        <v>7.3256949065676688E-2</v>
      </c>
      <c r="J5" s="17">
        <f t="shared" ref="J5:J23" si="42">B5+D5+F5+H5</f>
        <v>1670056.2886344644</v>
      </c>
      <c r="K5" s="16">
        <f>IF(J5=0,0,J5-J4)</f>
        <v>-10306.901283402229</v>
      </c>
      <c r="L5" s="18">
        <f t="shared" si="33"/>
        <v>-6.1337342696170423E-3</v>
      </c>
      <c r="M5" s="19">
        <f t="shared" si="34"/>
        <v>26</v>
      </c>
      <c r="N5" s="50">
        <v>8.9999999999999993E-3</v>
      </c>
      <c r="O5" s="29">
        <f t="shared" si="10"/>
        <v>6.9008220756076322E-2</v>
      </c>
      <c r="P5" s="17">
        <f t="shared" si="0"/>
        <v>115247.61304116063</v>
      </c>
      <c r="Q5" s="20">
        <f t="shared" ref="Q5:Q28" si="43">IF(P5=0,0,(P5-P4)/P4)</f>
        <v>2.8110621219563326E-3</v>
      </c>
      <c r="R5" s="42">
        <f t="shared" si="35"/>
        <v>0.2</v>
      </c>
      <c r="S5" s="17">
        <f t="shared" si="11"/>
        <v>137412.97647825093</v>
      </c>
      <c r="T5" s="42">
        <f t="shared" si="12"/>
        <v>-0.2</v>
      </c>
      <c r="U5" s="17">
        <f t="shared" si="11"/>
        <v>91608.650985500615</v>
      </c>
      <c r="V5" s="42">
        <f t="shared" si="12"/>
        <v>-0.1</v>
      </c>
      <c r="W5" s="42">
        <f t="shared" si="13"/>
        <v>0.1</v>
      </c>
      <c r="X5" s="29">
        <f t="shared" si="14"/>
        <v>6.9008220756076322E-2</v>
      </c>
      <c r="Y5" s="21">
        <f t="shared" si="1"/>
        <v>2.6541623367721664E-3</v>
      </c>
      <c r="Z5" s="17">
        <f t="shared" si="2"/>
        <v>4432.6005015831015</v>
      </c>
      <c r="AA5" s="17">
        <f t="shared" si="36"/>
        <v>17669.23121018675</v>
      </c>
      <c r="AB5" s="44">
        <v>0</v>
      </c>
      <c r="AC5" s="17">
        <f t="shared" si="15"/>
        <v>0</v>
      </c>
      <c r="AD5" s="17">
        <f t="shared" si="36"/>
        <v>0</v>
      </c>
      <c r="AE5" s="44">
        <v>0.3</v>
      </c>
      <c r="AF5" s="17">
        <f t="shared" si="16"/>
        <v>1329.7801504749305</v>
      </c>
      <c r="AG5" s="17">
        <f t="shared" si="36"/>
        <v>5300.7693630560243</v>
      </c>
      <c r="AH5" s="44">
        <v>0.7</v>
      </c>
      <c r="AI5" s="17">
        <f t="shared" si="17"/>
        <v>3102.8203511081711</v>
      </c>
      <c r="AJ5" s="17">
        <f t="shared" si="37"/>
        <v>12368.461847130722</v>
      </c>
      <c r="AK5" s="37">
        <f t="shared" si="38"/>
        <v>1153.8461538461538</v>
      </c>
      <c r="AL5" s="17">
        <f t="shared" si="36"/>
        <v>4615.3846153846152</v>
      </c>
      <c r="AM5" s="37"/>
      <c r="AN5" s="23">
        <f t="shared" si="18"/>
        <v>2</v>
      </c>
      <c r="AO5" s="37"/>
      <c r="AP5" s="23">
        <f t="shared" si="19"/>
        <v>2</v>
      </c>
      <c r="AQ5" s="37"/>
      <c r="AR5" s="23">
        <f t="shared" si="20"/>
        <v>2</v>
      </c>
      <c r="AS5" s="17">
        <f t="shared" si="21"/>
        <v>5586.4466554292558</v>
      </c>
      <c r="AT5" s="17">
        <f t="shared" si="22"/>
        <v>22290.615825571364</v>
      </c>
      <c r="AU5" s="46">
        <f t="shared" si="39"/>
        <v>25900</v>
      </c>
      <c r="AV5" s="17">
        <f t="shared" si="3"/>
        <v>-3609.3841744286365</v>
      </c>
      <c r="AW5" s="17">
        <f t="shared" si="40"/>
        <v>0</v>
      </c>
      <c r="AX5" s="44">
        <f t="shared" si="41"/>
        <v>0.12</v>
      </c>
      <c r="AY5" s="22">
        <f t="shared" si="4"/>
        <v>0</v>
      </c>
      <c r="AZ5" s="12">
        <f t="shared" si="23"/>
        <v>0</v>
      </c>
      <c r="BB5" s="22">
        <v>0.24</v>
      </c>
      <c r="BC5" s="25">
        <v>178150</v>
      </c>
      <c r="BD5" s="25">
        <v>89075</v>
      </c>
    </row>
    <row r="6" spans="1:56" ht="18.75" thickBot="1" x14ac:dyDescent="0.4">
      <c r="A6" s="5">
        <f t="shared" si="24"/>
        <v>44618</v>
      </c>
      <c r="B6" s="37">
        <f t="shared" si="25"/>
        <v>261013.24434145851</v>
      </c>
      <c r="C6" s="18">
        <f t="shared" si="26"/>
        <v>0.15725334245735906</v>
      </c>
      <c r="D6" s="37">
        <f t="shared" si="27"/>
        <v>216086.52833728085</v>
      </c>
      <c r="E6" s="18">
        <f t="shared" si="28"/>
        <v>0.13018622456027962</v>
      </c>
      <c r="F6" s="37">
        <f t="shared" si="29"/>
        <v>1059053.5871718714</v>
      </c>
      <c r="G6" s="18">
        <f t="shared" si="30"/>
        <v>0.63805082705445015</v>
      </c>
      <c r="H6" s="38">
        <f t="shared" si="31"/>
        <v>123673.00862378294</v>
      </c>
      <c r="I6" s="18">
        <f t="shared" si="32"/>
        <v>7.4509605927911157E-2</v>
      </c>
      <c r="J6" s="17">
        <f t="shared" si="42"/>
        <v>1659826.3684743939</v>
      </c>
      <c r="K6" s="16">
        <f t="shared" ref="K6:K28" si="44">IF(J6=0,0,J6-J5)</f>
        <v>-10229.920160070527</v>
      </c>
      <c r="L6" s="18">
        <f t="shared" si="33"/>
        <v>-6.1254942301586183E-3</v>
      </c>
      <c r="M6" s="19">
        <f t="shared" si="34"/>
        <v>26</v>
      </c>
      <c r="N6" s="50">
        <v>8.9999999999999993E-3</v>
      </c>
      <c r="O6" s="29">
        <f t="shared" si="10"/>
        <v>6.9629294742881001E-2</v>
      </c>
      <c r="P6" s="17">
        <f t="shared" si="0"/>
        <v>115572.53943250938</v>
      </c>
      <c r="Q6" s="20">
        <f t="shared" si="43"/>
        <v>2.8193763217699334E-3</v>
      </c>
      <c r="R6" s="42">
        <f t="shared" si="35"/>
        <v>0.2</v>
      </c>
      <c r="S6" s="17">
        <f t="shared" si="11"/>
        <v>137412.97647825093</v>
      </c>
      <c r="T6" s="42">
        <f t="shared" si="12"/>
        <v>-0.2</v>
      </c>
      <c r="U6" s="17">
        <f t="shared" si="11"/>
        <v>91608.650985500615</v>
      </c>
      <c r="V6" s="42">
        <f t="shared" si="12"/>
        <v>-0.1</v>
      </c>
      <c r="W6" s="42">
        <f t="shared" si="13"/>
        <v>0.1</v>
      </c>
      <c r="X6" s="29">
        <f t="shared" si="14"/>
        <v>6.9629294742881001E-2</v>
      </c>
      <c r="Y6" s="21">
        <f t="shared" si="1"/>
        <v>2.6780497978031153E-3</v>
      </c>
      <c r="Z6" s="17">
        <f t="shared" si="2"/>
        <v>4445.0976704811292</v>
      </c>
      <c r="AA6" s="17">
        <f t="shared" si="36"/>
        <v>22114.328880667879</v>
      </c>
      <c r="AB6" s="44">
        <v>0</v>
      </c>
      <c r="AC6" s="17">
        <f t="shared" si="15"/>
        <v>0</v>
      </c>
      <c r="AD6" s="17">
        <f t="shared" si="36"/>
        <v>0</v>
      </c>
      <c r="AE6" s="44">
        <v>0.3</v>
      </c>
      <c r="AF6" s="17">
        <f t="shared" si="16"/>
        <v>1333.5293011443387</v>
      </c>
      <c r="AG6" s="17">
        <f t="shared" si="36"/>
        <v>6634.2986642003634</v>
      </c>
      <c r="AH6" s="44">
        <v>0.7</v>
      </c>
      <c r="AI6" s="17">
        <f t="shared" si="17"/>
        <v>3111.5683693367901</v>
      </c>
      <c r="AJ6" s="17">
        <f t="shared" si="37"/>
        <v>15480.030216467512</v>
      </c>
      <c r="AK6" s="37">
        <f t="shared" si="38"/>
        <v>1153.8461538461538</v>
      </c>
      <c r="AL6" s="17">
        <f t="shared" si="36"/>
        <v>5769.2307692307695</v>
      </c>
      <c r="AM6" s="37"/>
      <c r="AN6" s="23">
        <f t="shared" si="18"/>
        <v>2</v>
      </c>
      <c r="AO6" s="37"/>
      <c r="AP6" s="23">
        <f t="shared" si="19"/>
        <v>2</v>
      </c>
      <c r="AQ6" s="37"/>
      <c r="AR6" s="23">
        <f t="shared" si="20"/>
        <v>2</v>
      </c>
      <c r="AS6" s="17">
        <f t="shared" si="21"/>
        <v>5598.9438243272834</v>
      </c>
      <c r="AT6" s="17">
        <f t="shared" si="22"/>
        <v>27889.559649898645</v>
      </c>
      <c r="AU6" s="46">
        <f t="shared" si="39"/>
        <v>25900</v>
      </c>
      <c r="AV6" s="17">
        <f t="shared" si="3"/>
        <v>1989.5596498986451</v>
      </c>
      <c r="AW6" s="17">
        <f>AW5+(AS6*AY6)</f>
        <v>559.89438243272832</v>
      </c>
      <c r="AX6" s="44">
        <f t="shared" si="41"/>
        <v>0.12</v>
      </c>
      <c r="AY6" s="22">
        <f t="shared" si="4"/>
        <v>0.1</v>
      </c>
      <c r="AZ6" s="12">
        <f t="shared" si="23"/>
        <v>0.1</v>
      </c>
      <c r="BB6" s="22">
        <v>0.32</v>
      </c>
      <c r="BC6" s="25">
        <v>340100</v>
      </c>
      <c r="BD6" s="25">
        <v>170050</v>
      </c>
    </row>
    <row r="7" spans="1:56" ht="18.75" thickBot="1" x14ac:dyDescent="0.4">
      <c r="A7" s="5">
        <f t="shared" si="24"/>
        <v>44632</v>
      </c>
      <c r="B7" s="37">
        <f t="shared" si="25"/>
        <v>259286.54134043041</v>
      </c>
      <c r="C7" s="18">
        <f t="shared" si="26"/>
        <v>0.15717451275990682</v>
      </c>
      <c r="D7" s="37">
        <f t="shared" si="27"/>
        <v>214657.03284212653</v>
      </c>
      <c r="E7" s="18">
        <f t="shared" si="28"/>
        <v>0.13012096336751788</v>
      </c>
      <c r="F7" s="37">
        <f t="shared" si="29"/>
        <v>1050722.8328725053</v>
      </c>
      <c r="G7" s="18">
        <f t="shared" si="30"/>
        <v>0.63692796567337207</v>
      </c>
      <c r="H7" s="38">
        <f t="shared" si="31"/>
        <v>125006.53792492728</v>
      </c>
      <c r="I7" s="18">
        <f t="shared" si="32"/>
        <v>7.57765581992033E-2</v>
      </c>
      <c r="J7" s="17">
        <f t="shared" si="42"/>
        <v>1649672.9449799894</v>
      </c>
      <c r="K7" s="16">
        <f t="shared" si="44"/>
        <v>-10153.423494404415</v>
      </c>
      <c r="L7" s="18">
        <f t="shared" si="33"/>
        <v>-6.117160015801407E-3</v>
      </c>
      <c r="M7" s="19">
        <f t="shared" si="34"/>
        <v>26</v>
      </c>
      <c r="N7" s="50">
        <v>1.2999999999999999E-2</v>
      </c>
      <c r="O7" s="29">
        <f t="shared" si="10"/>
        <v>7.0534475574538444E-2</v>
      </c>
      <c r="P7" s="17">
        <f t="shared" si="0"/>
        <v>116358.81604366796</v>
      </c>
      <c r="Q7" s="20">
        <f t="shared" si="43"/>
        <v>6.8033169039929311E-3</v>
      </c>
      <c r="R7" s="42">
        <f t="shared" si="35"/>
        <v>0.2</v>
      </c>
      <c r="S7" s="17">
        <f t="shared" si="11"/>
        <v>137412.97647825093</v>
      </c>
      <c r="T7" s="42">
        <f t="shared" si="12"/>
        <v>-0.2</v>
      </c>
      <c r="U7" s="17">
        <f t="shared" si="11"/>
        <v>91608.650985500615</v>
      </c>
      <c r="V7" s="42">
        <f t="shared" si="12"/>
        <v>-0.1</v>
      </c>
      <c r="W7" s="42">
        <f t="shared" si="13"/>
        <v>0.1</v>
      </c>
      <c r="X7" s="29">
        <f t="shared" si="14"/>
        <v>7.0534475574538444E-2</v>
      </c>
      <c r="Y7" s="21">
        <f t="shared" si="1"/>
        <v>2.7128644451745554E-3</v>
      </c>
      <c r="Z7" s="17">
        <f t="shared" si="2"/>
        <v>4475.3390786026139</v>
      </c>
      <c r="AA7" s="17">
        <f t="shared" si="36"/>
        <v>26589.667959270493</v>
      </c>
      <c r="AB7" s="44">
        <v>0</v>
      </c>
      <c r="AC7" s="17">
        <f t="shared" si="15"/>
        <v>0</v>
      </c>
      <c r="AD7" s="17">
        <f t="shared" si="36"/>
        <v>0</v>
      </c>
      <c r="AE7" s="44">
        <v>0.3</v>
      </c>
      <c r="AF7" s="17">
        <f t="shared" si="16"/>
        <v>1342.6017235807842</v>
      </c>
      <c r="AG7" s="17">
        <f t="shared" si="36"/>
        <v>7976.9003877811474</v>
      </c>
      <c r="AH7" s="44">
        <v>0.7</v>
      </c>
      <c r="AI7" s="17">
        <f t="shared" si="17"/>
        <v>3132.7373550218294</v>
      </c>
      <c r="AJ7" s="17">
        <f t="shared" si="37"/>
        <v>18612.767571489341</v>
      </c>
      <c r="AK7" s="37">
        <f t="shared" si="38"/>
        <v>1153.8461538461538</v>
      </c>
      <c r="AL7" s="17">
        <f t="shared" si="36"/>
        <v>6923.0769230769238</v>
      </c>
      <c r="AM7" s="37"/>
      <c r="AN7" s="23">
        <f t="shared" si="18"/>
        <v>2</v>
      </c>
      <c r="AO7" s="37"/>
      <c r="AP7" s="23">
        <f t="shared" si="19"/>
        <v>2</v>
      </c>
      <c r="AQ7" s="37"/>
      <c r="AR7" s="23">
        <f t="shared" si="20"/>
        <v>2</v>
      </c>
      <c r="AS7" s="17">
        <f t="shared" si="21"/>
        <v>5629.1852324487681</v>
      </c>
      <c r="AT7" s="17">
        <f t="shared" si="22"/>
        <v>33518.744882347411</v>
      </c>
      <c r="AU7" s="46">
        <f t="shared" si="39"/>
        <v>25900</v>
      </c>
      <c r="AV7" s="17">
        <f t="shared" si="3"/>
        <v>7618.7448823474115</v>
      </c>
      <c r="AW7" s="17">
        <f t="shared" si="40"/>
        <v>1122.8129056776052</v>
      </c>
      <c r="AX7" s="44">
        <f t="shared" si="41"/>
        <v>0.12</v>
      </c>
      <c r="AY7" s="22">
        <f t="shared" si="4"/>
        <v>0.1</v>
      </c>
      <c r="AZ7" s="12">
        <f t="shared" si="23"/>
        <v>0.1</v>
      </c>
      <c r="BB7" s="22">
        <v>0.35</v>
      </c>
      <c r="BC7" s="25">
        <v>431900</v>
      </c>
      <c r="BD7" s="25">
        <v>215950</v>
      </c>
    </row>
    <row r="8" spans="1:56" ht="18.75" thickBot="1" x14ac:dyDescent="0.4">
      <c r="A8" s="5">
        <f t="shared" si="24"/>
        <v>44646</v>
      </c>
      <c r="B8" s="37">
        <f t="shared" si="25"/>
        <v>257571.26114387065</v>
      </c>
      <c r="C8" s="18">
        <f t="shared" si="26"/>
        <v>0.15709438688699365</v>
      </c>
      <c r="D8" s="37">
        <f t="shared" si="27"/>
        <v>213236.99400947863</v>
      </c>
      <c r="E8" s="18">
        <f t="shared" si="28"/>
        <v>0.13005462910255947</v>
      </c>
      <c r="F8" s="37">
        <f t="shared" si="29"/>
        <v>1042438.1773120931</v>
      </c>
      <c r="G8" s="18">
        <f t="shared" si="30"/>
        <v>0.63578982222308933</v>
      </c>
      <c r="H8" s="38">
        <f t="shared" si="31"/>
        <v>126349.13964850806</v>
      </c>
      <c r="I8" s="18">
        <f t="shared" si="32"/>
        <v>7.706116178735746E-2</v>
      </c>
      <c r="J8" s="17">
        <f t="shared" si="42"/>
        <v>1639595.5721139505</v>
      </c>
      <c r="K8" s="16">
        <f t="shared" si="44"/>
        <v>-10077.372866038932</v>
      </c>
      <c r="L8" s="18">
        <f t="shared" si="33"/>
        <v>-6.1087095455524794E-3</v>
      </c>
      <c r="M8" s="19">
        <f t="shared" si="34"/>
        <v>26</v>
      </c>
      <c r="N8" s="50">
        <v>1.2999999999999999E-2</v>
      </c>
      <c r="O8" s="29">
        <f t="shared" si="10"/>
        <v>7.1451423757007443E-2</v>
      </c>
      <c r="P8" s="17">
        <f t="shared" si="0"/>
        <v>117151.43801322693</v>
      </c>
      <c r="Q8" s="20">
        <f t="shared" si="43"/>
        <v>6.8118772303553451E-3</v>
      </c>
      <c r="R8" s="42">
        <f t="shared" si="35"/>
        <v>0.2</v>
      </c>
      <c r="S8" s="17">
        <f t="shared" si="11"/>
        <v>137412.97647825093</v>
      </c>
      <c r="T8" s="42">
        <f t="shared" si="12"/>
        <v>-0.2</v>
      </c>
      <c r="U8" s="17">
        <f t="shared" si="11"/>
        <v>91608.650985500615</v>
      </c>
      <c r="V8" s="42">
        <f t="shared" si="12"/>
        <v>-0.1</v>
      </c>
      <c r="W8" s="42">
        <f t="shared" si="13"/>
        <v>0.1</v>
      </c>
      <c r="X8" s="29">
        <f t="shared" si="14"/>
        <v>7.1451423757007443E-2</v>
      </c>
      <c r="Y8" s="21">
        <f t="shared" si="1"/>
        <v>2.7481316829618247E-3</v>
      </c>
      <c r="Z8" s="17">
        <f t="shared" si="2"/>
        <v>4505.824538970267</v>
      </c>
      <c r="AA8" s="17">
        <f t="shared" si="36"/>
        <v>31095.492498240761</v>
      </c>
      <c r="AB8" s="44">
        <v>0</v>
      </c>
      <c r="AC8" s="17">
        <f t="shared" si="15"/>
        <v>0</v>
      </c>
      <c r="AD8" s="17">
        <f t="shared" si="36"/>
        <v>0</v>
      </c>
      <c r="AE8" s="44">
        <v>0.3</v>
      </c>
      <c r="AF8" s="17">
        <f t="shared" si="16"/>
        <v>1351.74736169108</v>
      </c>
      <c r="AG8" s="17">
        <f t="shared" si="36"/>
        <v>9328.6477494722276</v>
      </c>
      <c r="AH8" s="44">
        <v>0.7</v>
      </c>
      <c r="AI8" s="17">
        <f t="shared" si="17"/>
        <v>3154.0771772791868</v>
      </c>
      <c r="AJ8" s="17">
        <f t="shared" si="37"/>
        <v>21766.844748768526</v>
      </c>
      <c r="AK8" s="37">
        <f t="shared" si="38"/>
        <v>1153.8461538461538</v>
      </c>
      <c r="AL8" s="17">
        <f t="shared" si="36"/>
        <v>8076.923076923078</v>
      </c>
      <c r="AM8" s="37"/>
      <c r="AN8" s="23">
        <f t="shared" si="18"/>
        <v>2</v>
      </c>
      <c r="AO8" s="37"/>
      <c r="AP8" s="23">
        <f t="shared" si="19"/>
        <v>2</v>
      </c>
      <c r="AQ8" s="37"/>
      <c r="AR8" s="23">
        <f t="shared" si="20"/>
        <v>2</v>
      </c>
      <c r="AS8" s="17">
        <f t="shared" si="21"/>
        <v>5659.6706928164203</v>
      </c>
      <c r="AT8" s="17">
        <f t="shared" si="22"/>
        <v>39178.415575163832</v>
      </c>
      <c r="AU8" s="46">
        <f t="shared" si="39"/>
        <v>25900</v>
      </c>
      <c r="AV8" s="17">
        <f t="shared" si="3"/>
        <v>13278.415575163832</v>
      </c>
      <c r="AW8" s="17">
        <f t="shared" si="40"/>
        <v>1688.7799749592473</v>
      </c>
      <c r="AX8" s="44">
        <f t="shared" si="41"/>
        <v>0.12</v>
      </c>
      <c r="AY8" s="22">
        <f t="shared" si="4"/>
        <v>0.1</v>
      </c>
      <c r="AZ8" s="12">
        <f t="shared" si="23"/>
        <v>0.12</v>
      </c>
      <c r="BB8" s="22">
        <v>0.37</v>
      </c>
      <c r="BC8" s="25">
        <v>647850</v>
      </c>
      <c r="BD8" s="25">
        <v>539900</v>
      </c>
    </row>
    <row r="9" spans="1:56" ht="18.75" thickBot="1" x14ac:dyDescent="0.4">
      <c r="A9" s="5">
        <f t="shared" si="24"/>
        <v>44660</v>
      </c>
      <c r="B9" s="37">
        <f t="shared" si="25"/>
        <v>255867.32818553428</v>
      </c>
      <c r="C9" s="18">
        <f t="shared" si="26"/>
        <v>0.1570129482840551</v>
      </c>
      <c r="D9" s="37">
        <f t="shared" si="27"/>
        <v>211826.34927987747</v>
      </c>
      <c r="E9" s="18">
        <f t="shared" si="28"/>
        <v>0.12998720806028236</v>
      </c>
      <c r="F9" s="37">
        <f t="shared" si="29"/>
        <v>1034199.2427984225</v>
      </c>
      <c r="G9" s="18">
        <f t="shared" si="30"/>
        <v>0.63463621313609397</v>
      </c>
      <c r="H9" s="38">
        <f t="shared" si="31"/>
        <v>127700.88701019915</v>
      </c>
      <c r="I9" s="18">
        <f t="shared" si="32"/>
        <v>7.836363051956842E-2</v>
      </c>
      <c r="J9" s="17">
        <f t="shared" si="42"/>
        <v>1629593.8072740335</v>
      </c>
      <c r="K9" s="16">
        <f t="shared" si="44"/>
        <v>-10001.764839916956</v>
      </c>
      <c r="L9" s="18">
        <f t="shared" si="33"/>
        <v>-6.100141406835808E-3</v>
      </c>
      <c r="M9" s="19">
        <f t="shared" si="34"/>
        <v>26</v>
      </c>
      <c r="N9" s="50">
        <v>6.0000000000000001E-3</v>
      </c>
      <c r="O9" s="29">
        <f t="shared" si="10"/>
        <v>7.1880132299549482E-2</v>
      </c>
      <c r="P9" s="17">
        <f t="shared" si="0"/>
        <v>117135.41846138408</v>
      </c>
      <c r="Q9" s="20">
        <f t="shared" si="43"/>
        <v>-1.3674225527682482E-4</v>
      </c>
      <c r="R9" s="42">
        <f t="shared" si="35"/>
        <v>0.2</v>
      </c>
      <c r="S9" s="17">
        <f t="shared" si="11"/>
        <v>137412.97647825093</v>
      </c>
      <c r="T9" s="42">
        <f t="shared" si="12"/>
        <v>-0.2</v>
      </c>
      <c r="U9" s="17">
        <f t="shared" si="11"/>
        <v>91608.650985500615</v>
      </c>
      <c r="V9" s="42">
        <f t="shared" si="12"/>
        <v>-0.1</v>
      </c>
      <c r="W9" s="42">
        <f t="shared" si="13"/>
        <v>0.1</v>
      </c>
      <c r="X9" s="29">
        <f t="shared" si="14"/>
        <v>7.1880132299549482E-2</v>
      </c>
      <c r="Y9" s="21">
        <f t="shared" si="1"/>
        <v>2.7646204730595956E-3</v>
      </c>
      <c r="Z9" s="17">
        <f t="shared" si="2"/>
        <v>4505.2084023609259</v>
      </c>
      <c r="AA9" s="17">
        <f t="shared" si="36"/>
        <v>35600.700900601689</v>
      </c>
      <c r="AB9" s="44">
        <v>0</v>
      </c>
      <c r="AC9" s="17">
        <f t="shared" si="15"/>
        <v>0</v>
      </c>
      <c r="AD9" s="17">
        <f t="shared" si="36"/>
        <v>0</v>
      </c>
      <c r="AE9" s="44">
        <v>0.3</v>
      </c>
      <c r="AF9" s="17">
        <f t="shared" si="16"/>
        <v>1351.5625207082778</v>
      </c>
      <c r="AG9" s="17">
        <f t="shared" si="36"/>
        <v>10680.210270180505</v>
      </c>
      <c r="AH9" s="44">
        <v>0.7</v>
      </c>
      <c r="AI9" s="17">
        <f t="shared" si="17"/>
        <v>3153.6458816526479</v>
      </c>
      <c r="AJ9" s="17">
        <f t="shared" si="37"/>
        <v>24920.490630421173</v>
      </c>
      <c r="AK9" s="37">
        <f t="shared" si="38"/>
        <v>1153.8461538461538</v>
      </c>
      <c r="AL9" s="17">
        <f t="shared" si="36"/>
        <v>9230.7692307692323</v>
      </c>
      <c r="AM9" s="37"/>
      <c r="AN9" s="23">
        <f t="shared" si="18"/>
        <v>2</v>
      </c>
      <c r="AO9" s="37"/>
      <c r="AP9" s="23">
        <f t="shared" si="19"/>
        <v>2</v>
      </c>
      <c r="AQ9" s="37"/>
      <c r="AR9" s="23">
        <f t="shared" si="20"/>
        <v>2</v>
      </c>
      <c r="AS9" s="17">
        <f t="shared" si="21"/>
        <v>5659.0545562070802</v>
      </c>
      <c r="AT9" s="17">
        <f t="shared" si="22"/>
        <v>44837.470131370916</v>
      </c>
      <c r="AU9" s="46">
        <f t="shared" si="39"/>
        <v>25900</v>
      </c>
      <c r="AV9" s="17">
        <f t="shared" si="3"/>
        <v>18937.470131370916</v>
      </c>
      <c r="AW9" s="17">
        <f t="shared" si="40"/>
        <v>2254.6854305799552</v>
      </c>
      <c r="AX9" s="44">
        <f t="shared" si="41"/>
        <v>0.12</v>
      </c>
      <c r="AY9" s="22">
        <f t="shared" si="4"/>
        <v>0.1</v>
      </c>
      <c r="AZ9" s="12">
        <f t="shared" si="23"/>
        <v>0.12</v>
      </c>
    </row>
    <row r="10" spans="1:56" ht="18.75" thickBot="1" x14ac:dyDescent="0.4">
      <c r="A10" s="5">
        <f t="shared" si="24"/>
        <v>44674</v>
      </c>
      <c r="B10" s="37">
        <f t="shared" si="25"/>
        <v>254174.66739907613</v>
      </c>
      <c r="C10" s="18">
        <f t="shared" si="26"/>
        <v>0.15693018627092056</v>
      </c>
      <c r="D10" s="37">
        <f t="shared" si="27"/>
        <v>210425.03650771829</v>
      </c>
      <c r="E10" s="18">
        <f t="shared" si="28"/>
        <v>0.12991869139883261</v>
      </c>
      <c r="F10" s="37">
        <f t="shared" si="29"/>
        <v>1026014.9956235694</v>
      </c>
      <c r="G10" s="18">
        <f t="shared" si="30"/>
        <v>0.63347274544540122</v>
      </c>
      <c r="H10" s="38">
        <f t="shared" si="31"/>
        <v>129052.44953090743</v>
      </c>
      <c r="I10" s="18">
        <f t="shared" si="32"/>
        <v>7.9678376884845636E-2</v>
      </c>
      <c r="J10" s="17">
        <f t="shared" si="42"/>
        <v>1619667.1490612712</v>
      </c>
      <c r="K10" s="16">
        <f t="shared" si="44"/>
        <v>-9926.658212762326</v>
      </c>
      <c r="L10" s="18">
        <f t="shared" si="33"/>
        <v>-6.091492351316387E-3</v>
      </c>
      <c r="M10" s="19">
        <f t="shared" si="34"/>
        <v>26</v>
      </c>
      <c r="N10" s="50">
        <v>6.0000000000000001E-3</v>
      </c>
      <c r="O10" s="29">
        <f t="shared" si="10"/>
        <v>7.231141309334678E-2</v>
      </c>
      <c r="P10" s="17">
        <f t="shared" si="0"/>
        <v>117120.42028949286</v>
      </c>
      <c r="Q10" s="20">
        <f t="shared" si="43"/>
        <v>-1.2804130542429576E-4</v>
      </c>
      <c r="R10" s="42">
        <f t="shared" si="35"/>
        <v>0.2</v>
      </c>
      <c r="S10" s="17">
        <f t="shared" si="11"/>
        <v>137412.97647825093</v>
      </c>
      <c r="T10" s="42">
        <f t="shared" si="12"/>
        <v>-0.2</v>
      </c>
      <c r="U10" s="17">
        <f t="shared" si="11"/>
        <v>91608.650985500615</v>
      </c>
      <c r="V10" s="42">
        <f t="shared" si="12"/>
        <v>-0.1</v>
      </c>
      <c r="W10" s="42">
        <f t="shared" si="13"/>
        <v>0.1</v>
      </c>
      <c r="X10" s="29">
        <f t="shared" si="14"/>
        <v>7.231141309334678E-2</v>
      </c>
      <c r="Y10" s="21">
        <f t="shared" si="1"/>
        <v>2.7812081958979531E-3</v>
      </c>
      <c r="Z10" s="17">
        <f t="shared" si="2"/>
        <v>4504.6315495958788</v>
      </c>
      <c r="AA10" s="17">
        <f t="shared" si="36"/>
        <v>40105.332450197566</v>
      </c>
      <c r="AB10" s="44">
        <v>0</v>
      </c>
      <c r="AC10" s="17">
        <f t="shared" si="15"/>
        <v>0</v>
      </c>
      <c r="AD10" s="17">
        <f t="shared" si="36"/>
        <v>0</v>
      </c>
      <c r="AE10" s="44">
        <v>0.3</v>
      </c>
      <c r="AF10" s="17">
        <f t="shared" si="16"/>
        <v>1351.3894648787636</v>
      </c>
      <c r="AG10" s="17">
        <f t="shared" si="36"/>
        <v>12031.59973505927</v>
      </c>
      <c r="AH10" s="44">
        <v>0.7</v>
      </c>
      <c r="AI10" s="17">
        <f t="shared" si="17"/>
        <v>3153.2420847171152</v>
      </c>
      <c r="AJ10" s="17">
        <f t="shared" si="37"/>
        <v>28073.732715138289</v>
      </c>
      <c r="AK10" s="37">
        <f t="shared" si="38"/>
        <v>1153.8461538461538</v>
      </c>
      <c r="AL10" s="17">
        <f t="shared" si="36"/>
        <v>10384.615384615387</v>
      </c>
      <c r="AM10" s="37"/>
      <c r="AN10" s="23">
        <f t="shared" si="18"/>
        <v>2</v>
      </c>
      <c r="AO10" s="37"/>
      <c r="AP10" s="23">
        <f t="shared" si="19"/>
        <v>2</v>
      </c>
      <c r="AQ10" s="37"/>
      <c r="AR10" s="23">
        <f t="shared" si="20"/>
        <v>2</v>
      </c>
      <c r="AS10" s="17">
        <f t="shared" si="21"/>
        <v>5658.4777034420331</v>
      </c>
      <c r="AT10" s="17">
        <f t="shared" si="22"/>
        <v>50495.947834812949</v>
      </c>
      <c r="AU10" s="46">
        <f t="shared" si="39"/>
        <v>25900</v>
      </c>
      <c r="AV10" s="17">
        <f t="shared" si="3"/>
        <v>24595.947834812949</v>
      </c>
      <c r="AW10" s="17">
        <f t="shared" si="40"/>
        <v>2933.702754992999</v>
      </c>
      <c r="AX10" s="44">
        <f t="shared" si="41"/>
        <v>0.12</v>
      </c>
      <c r="AY10" s="22">
        <f t="shared" si="4"/>
        <v>0.12</v>
      </c>
      <c r="AZ10" s="12">
        <f t="shared" si="23"/>
        <v>0.12</v>
      </c>
    </row>
    <row r="11" spans="1:56" ht="18.75" thickBot="1" x14ac:dyDescent="0.4">
      <c r="A11" s="5">
        <f t="shared" si="24"/>
        <v>44688</v>
      </c>
      <c r="B11" s="37">
        <f t="shared" si="25"/>
        <v>252493.2042147438</v>
      </c>
      <c r="C11" s="18">
        <f t="shared" si="26"/>
        <v>0.15684609014887496</v>
      </c>
      <c r="D11" s="37">
        <f t="shared" si="27"/>
        <v>209032.9939585134</v>
      </c>
      <c r="E11" s="18">
        <f t="shared" si="28"/>
        <v>0.1298490702610037</v>
      </c>
      <c r="F11" s="37">
        <f t="shared" si="29"/>
        <v>1017885.0623025639</v>
      </c>
      <c r="G11" s="18">
        <f t="shared" si="30"/>
        <v>0.63229936322293556</v>
      </c>
      <c r="H11" s="38">
        <f t="shared" si="31"/>
        <v>130403.83899578619</v>
      </c>
      <c r="I11" s="18">
        <f t="shared" si="32"/>
        <v>8.100547636718583E-2</v>
      </c>
      <c r="J11" s="17">
        <f t="shared" si="42"/>
        <v>1609815.0994716072</v>
      </c>
      <c r="K11" s="16">
        <f t="shared" si="44"/>
        <v>-9852.0495896639768</v>
      </c>
      <c r="L11" s="18">
        <f t="shared" si="33"/>
        <v>-6.0827618781883926E-3</v>
      </c>
      <c r="M11" s="19">
        <f t="shared" si="34"/>
        <v>26</v>
      </c>
      <c r="N11" s="50">
        <v>1.0999999999999999E-2</v>
      </c>
      <c r="O11" s="29">
        <f t="shared" si="10"/>
        <v>7.3106838637373592E-2</v>
      </c>
      <c r="P11" s="17">
        <f t="shared" si="0"/>
        <v>117688.4927130783</v>
      </c>
      <c r="Q11" s="20">
        <f t="shared" si="43"/>
        <v>4.8503277411514395E-3</v>
      </c>
      <c r="R11" s="42">
        <f t="shared" si="35"/>
        <v>0.2</v>
      </c>
      <c r="S11" s="17">
        <f t="shared" si="11"/>
        <v>137412.97647825093</v>
      </c>
      <c r="T11" s="42">
        <f t="shared" si="12"/>
        <v>-0.2</v>
      </c>
      <c r="U11" s="17">
        <f t="shared" si="11"/>
        <v>91608.650985500615</v>
      </c>
      <c r="V11" s="42">
        <f t="shared" si="12"/>
        <v>-0.1</v>
      </c>
      <c r="W11" s="42">
        <f t="shared" si="13"/>
        <v>0.1</v>
      </c>
      <c r="X11" s="29">
        <f t="shared" si="14"/>
        <v>7.3106838637373592E-2</v>
      </c>
      <c r="Y11" s="21">
        <f t="shared" si="1"/>
        <v>2.8118014860528304E-3</v>
      </c>
      <c r="Z11" s="17">
        <f t="shared" si="2"/>
        <v>4526.4804889645502</v>
      </c>
      <c r="AA11" s="17">
        <f t="shared" si="36"/>
        <v>44631.812939162119</v>
      </c>
      <c r="AB11" s="44">
        <v>0</v>
      </c>
      <c r="AC11" s="17">
        <f t="shared" si="15"/>
        <v>0</v>
      </c>
      <c r="AD11" s="17">
        <f t="shared" si="36"/>
        <v>0</v>
      </c>
      <c r="AE11" s="44">
        <v>0.3</v>
      </c>
      <c r="AF11" s="17">
        <f t="shared" si="16"/>
        <v>1357.944146689365</v>
      </c>
      <c r="AG11" s="17">
        <f t="shared" si="36"/>
        <v>13389.543881748636</v>
      </c>
      <c r="AH11" s="44">
        <v>0.7</v>
      </c>
      <c r="AI11" s="17">
        <f t="shared" si="17"/>
        <v>3168.5363422751848</v>
      </c>
      <c r="AJ11" s="17">
        <f t="shared" si="37"/>
        <v>31242.269057413472</v>
      </c>
      <c r="AK11" s="37">
        <f t="shared" si="38"/>
        <v>1153.8461538461538</v>
      </c>
      <c r="AL11" s="17">
        <f t="shared" si="36"/>
        <v>11538.461538461541</v>
      </c>
      <c r="AM11" s="37"/>
      <c r="AN11" s="23">
        <f t="shared" si="18"/>
        <v>2</v>
      </c>
      <c r="AO11" s="37"/>
      <c r="AP11" s="23">
        <f t="shared" si="19"/>
        <v>2</v>
      </c>
      <c r="AQ11" s="37"/>
      <c r="AR11" s="23">
        <f t="shared" si="20"/>
        <v>2</v>
      </c>
      <c r="AS11" s="17">
        <f t="shared" si="21"/>
        <v>5680.3266428107036</v>
      </c>
      <c r="AT11" s="17">
        <f t="shared" si="22"/>
        <v>56176.274477623658</v>
      </c>
      <c r="AU11" s="46">
        <f t="shared" si="39"/>
        <v>25900</v>
      </c>
      <c r="AV11" s="17">
        <f t="shared" si="3"/>
        <v>30276.274477623658</v>
      </c>
      <c r="AW11" s="17">
        <f t="shared" si="40"/>
        <v>3615.3419521302835</v>
      </c>
      <c r="AX11" s="44">
        <f t="shared" si="41"/>
        <v>0.12</v>
      </c>
      <c r="AY11" s="22">
        <f t="shared" si="4"/>
        <v>0.12</v>
      </c>
      <c r="AZ11" s="12">
        <f t="shared" si="23"/>
        <v>0.12</v>
      </c>
    </row>
    <row r="12" spans="1:56" ht="18.75" thickBot="1" x14ac:dyDescent="0.4">
      <c r="A12" s="5">
        <f t="shared" si="24"/>
        <v>44702</v>
      </c>
      <c r="B12" s="37">
        <f t="shared" si="25"/>
        <v>250822.86455609242</v>
      </c>
      <c r="C12" s="18">
        <f t="shared" si="26"/>
        <v>0.15676064484916877</v>
      </c>
      <c r="D12" s="37">
        <f t="shared" si="27"/>
        <v>207650.16030617247</v>
      </c>
      <c r="E12" s="18">
        <f t="shared" si="28"/>
        <v>0.12977833217174378</v>
      </c>
      <c r="F12" s="37">
        <f t="shared" si="29"/>
        <v>1009802.400297305</v>
      </c>
      <c r="G12" s="18">
        <f t="shared" si="30"/>
        <v>0.63111182356121842</v>
      </c>
      <c r="H12" s="38">
        <f t="shared" si="31"/>
        <v>131761.78314247556</v>
      </c>
      <c r="I12" s="18">
        <f t="shared" si="32"/>
        <v>8.2349199417869015E-2</v>
      </c>
      <c r="J12" s="17">
        <f t="shared" si="42"/>
        <v>1600037.2083020455</v>
      </c>
      <c r="K12" s="16">
        <f t="shared" si="44"/>
        <v>-9777.8911695617717</v>
      </c>
      <c r="L12" s="18">
        <f t="shared" si="33"/>
        <v>-6.0739218887754173E-3</v>
      </c>
      <c r="M12" s="19">
        <f t="shared" si="34"/>
        <v>26</v>
      </c>
      <c r="N12" s="50">
        <v>1.0999999999999999E-2</v>
      </c>
      <c r="O12" s="29">
        <f t="shared" si="10"/>
        <v>7.3911013862384689E-2</v>
      </c>
      <c r="P12" s="17">
        <f t="shared" si="0"/>
        <v>118260.37228314378</v>
      </c>
      <c r="Q12" s="20">
        <f t="shared" si="43"/>
        <v>4.8592649704478942E-3</v>
      </c>
      <c r="R12" s="42">
        <f t="shared" si="35"/>
        <v>0.2</v>
      </c>
      <c r="S12" s="17">
        <f t="shared" si="11"/>
        <v>137412.97647825093</v>
      </c>
      <c r="T12" s="42">
        <f t="shared" si="12"/>
        <v>-0.2</v>
      </c>
      <c r="U12" s="17">
        <f t="shared" si="11"/>
        <v>91608.650985500615</v>
      </c>
      <c r="V12" s="42">
        <f t="shared" si="12"/>
        <v>-0.1</v>
      </c>
      <c r="W12" s="42">
        <f t="shared" si="13"/>
        <v>0.1</v>
      </c>
      <c r="X12" s="29">
        <f t="shared" si="14"/>
        <v>7.3911013862384689E-2</v>
      </c>
      <c r="Y12" s="21">
        <f t="shared" si="1"/>
        <v>2.8427313023994113E-3</v>
      </c>
      <c r="Z12" s="17">
        <f t="shared" si="2"/>
        <v>4548.4758570439917</v>
      </c>
      <c r="AA12" s="17">
        <f t="shared" si="36"/>
        <v>49180.288796206107</v>
      </c>
      <c r="AB12" s="44">
        <v>0</v>
      </c>
      <c r="AC12" s="17">
        <f t="shared" si="15"/>
        <v>0</v>
      </c>
      <c r="AD12" s="17">
        <f t="shared" si="36"/>
        <v>0</v>
      </c>
      <c r="AE12" s="44">
        <v>0.3</v>
      </c>
      <c r="AF12" s="17">
        <f t="shared" si="16"/>
        <v>1364.5427571131975</v>
      </c>
      <c r="AG12" s="17">
        <f t="shared" si="36"/>
        <v>14754.086638861832</v>
      </c>
      <c r="AH12" s="44">
        <v>0.7</v>
      </c>
      <c r="AI12" s="17">
        <f t="shared" si="17"/>
        <v>3183.933099930794</v>
      </c>
      <c r="AJ12" s="17">
        <f t="shared" si="37"/>
        <v>34426.202157344269</v>
      </c>
      <c r="AK12" s="37">
        <f t="shared" si="38"/>
        <v>1153.8461538461538</v>
      </c>
      <c r="AL12" s="17">
        <f t="shared" si="36"/>
        <v>12692.307692307695</v>
      </c>
      <c r="AM12" s="37"/>
      <c r="AN12" s="23">
        <f t="shared" si="18"/>
        <v>2</v>
      </c>
      <c r="AO12" s="37"/>
      <c r="AP12" s="23">
        <f t="shared" si="19"/>
        <v>2</v>
      </c>
      <c r="AQ12" s="37"/>
      <c r="AR12" s="23">
        <f t="shared" si="20"/>
        <v>2</v>
      </c>
      <c r="AS12" s="17">
        <f t="shared" si="21"/>
        <v>5702.322010890146</v>
      </c>
      <c r="AT12" s="17">
        <f t="shared" si="22"/>
        <v>61878.596488513809</v>
      </c>
      <c r="AU12" s="46">
        <f t="shared" si="39"/>
        <v>25900</v>
      </c>
      <c r="AV12" s="17">
        <f t="shared" si="3"/>
        <v>35978.596488513809</v>
      </c>
      <c r="AW12" s="17">
        <f t="shared" si="40"/>
        <v>4299.620593437101</v>
      </c>
      <c r="AX12" s="44">
        <f t="shared" si="41"/>
        <v>0.12</v>
      </c>
      <c r="AY12" s="22">
        <f t="shared" si="4"/>
        <v>0.12</v>
      </c>
      <c r="AZ12" s="12">
        <f t="shared" si="23"/>
        <v>0.12</v>
      </c>
    </row>
    <row r="13" spans="1:56" ht="18.75" thickBot="1" x14ac:dyDescent="0.4">
      <c r="A13" s="5">
        <f t="shared" si="24"/>
        <v>44716</v>
      </c>
      <c r="B13" s="37">
        <f t="shared" si="25"/>
        <v>249163.57483672135</v>
      </c>
      <c r="C13" s="18">
        <f t="shared" si="26"/>
        <v>0.1566738351986392</v>
      </c>
      <c r="D13" s="37">
        <f t="shared" si="27"/>
        <v>206276.47463030089</v>
      </c>
      <c r="E13" s="18">
        <f t="shared" si="28"/>
        <v>0.12970646456955973</v>
      </c>
      <c r="F13" s="37">
        <f t="shared" si="29"/>
        <v>1001766.653251849</v>
      </c>
      <c r="G13" s="18">
        <f t="shared" si="30"/>
        <v>0.629909984402509</v>
      </c>
      <c r="H13" s="38">
        <f t="shared" si="31"/>
        <v>133126.32589958876</v>
      </c>
      <c r="I13" s="18">
        <f t="shared" si="32"/>
        <v>8.3709715829292111E-2</v>
      </c>
      <c r="J13" s="17">
        <f t="shared" si="42"/>
        <v>1590333.0286184601</v>
      </c>
      <c r="K13" s="16">
        <f t="shared" si="44"/>
        <v>-9704.1796835854184</v>
      </c>
      <c r="L13" s="18">
        <f t="shared" si="33"/>
        <v>-6.0649712601892952E-3</v>
      </c>
      <c r="M13" s="19">
        <f t="shared" si="34"/>
        <v>26</v>
      </c>
      <c r="N13" s="50">
        <v>1.4E-2</v>
      </c>
      <c r="O13" s="29">
        <f t="shared" si="10"/>
        <v>7.494576805645807E-2</v>
      </c>
      <c r="P13" s="17">
        <f t="shared" si="0"/>
        <v>119188.7302953636</v>
      </c>
      <c r="Q13" s="20">
        <f t="shared" si="43"/>
        <v>7.8501191421679762E-3</v>
      </c>
      <c r="R13" s="42">
        <f t="shared" si="35"/>
        <v>0.2</v>
      </c>
      <c r="S13" s="17">
        <f t="shared" si="11"/>
        <v>137412.97647825093</v>
      </c>
      <c r="T13" s="42">
        <f t="shared" si="12"/>
        <v>-0.2</v>
      </c>
      <c r="U13" s="17">
        <f t="shared" si="11"/>
        <v>91608.650985500615</v>
      </c>
      <c r="V13" s="42">
        <f t="shared" si="12"/>
        <v>-0.1</v>
      </c>
      <c r="W13" s="42">
        <f t="shared" si="13"/>
        <v>0.1</v>
      </c>
      <c r="X13" s="29">
        <f t="shared" si="14"/>
        <v>7.494576805645807E-2</v>
      </c>
      <c r="Y13" s="21">
        <f t="shared" si="1"/>
        <v>2.8825295406330028E-3</v>
      </c>
      <c r="Z13" s="17">
        <f t="shared" si="2"/>
        <v>4584.1819344370615</v>
      </c>
      <c r="AA13" s="17">
        <f t="shared" si="36"/>
        <v>53764.470730643166</v>
      </c>
      <c r="AB13" s="44">
        <v>0</v>
      </c>
      <c r="AC13" s="17">
        <f t="shared" si="15"/>
        <v>0</v>
      </c>
      <c r="AD13" s="17">
        <f t="shared" si="36"/>
        <v>0</v>
      </c>
      <c r="AE13" s="44">
        <v>0.3</v>
      </c>
      <c r="AF13" s="17">
        <f t="shared" si="16"/>
        <v>1375.2545803311184</v>
      </c>
      <c r="AG13" s="17">
        <f t="shared" si="36"/>
        <v>16129.341219192951</v>
      </c>
      <c r="AH13" s="44">
        <v>0.7</v>
      </c>
      <c r="AI13" s="17">
        <f t="shared" si="17"/>
        <v>3208.9273541059429</v>
      </c>
      <c r="AJ13" s="17">
        <f t="shared" si="37"/>
        <v>37635.129511450214</v>
      </c>
      <c r="AK13" s="37">
        <f t="shared" si="38"/>
        <v>1153.8461538461538</v>
      </c>
      <c r="AL13" s="17">
        <f t="shared" si="36"/>
        <v>13846.153846153849</v>
      </c>
      <c r="AM13" s="37"/>
      <c r="AN13" s="23">
        <f t="shared" si="18"/>
        <v>2</v>
      </c>
      <c r="AO13" s="37"/>
      <c r="AP13" s="23">
        <f t="shared" si="19"/>
        <v>2</v>
      </c>
      <c r="AQ13" s="37"/>
      <c r="AR13" s="23">
        <f t="shared" si="20"/>
        <v>2</v>
      </c>
      <c r="AS13" s="17">
        <f t="shared" si="21"/>
        <v>5738.0280882832158</v>
      </c>
      <c r="AT13" s="17">
        <f t="shared" si="22"/>
        <v>67616.624576797025</v>
      </c>
      <c r="AU13" s="46">
        <f t="shared" si="39"/>
        <v>25900</v>
      </c>
      <c r="AV13" s="17">
        <f t="shared" si="3"/>
        <v>41716.624576797025</v>
      </c>
      <c r="AW13" s="17">
        <f t="shared" si="40"/>
        <v>4988.1839640310864</v>
      </c>
      <c r="AX13" s="44">
        <f t="shared" si="41"/>
        <v>0.12</v>
      </c>
      <c r="AY13" s="22">
        <f t="shared" si="4"/>
        <v>0.12</v>
      </c>
      <c r="AZ13" s="12">
        <f t="shared" si="23"/>
        <v>0.12</v>
      </c>
    </row>
    <row r="14" spans="1:56" ht="18.75" thickBot="1" x14ac:dyDescent="0.4">
      <c r="A14" s="5">
        <f t="shared" si="24"/>
        <v>44730</v>
      </c>
      <c r="B14" s="37">
        <f t="shared" si="25"/>
        <v>247515.26195703229</v>
      </c>
      <c r="C14" s="18">
        <f t="shared" si="26"/>
        <v>0.15658564325401092</v>
      </c>
      <c r="D14" s="37">
        <f t="shared" si="27"/>
        <v>204911.87641351583</v>
      </c>
      <c r="E14" s="18">
        <f t="shared" si="28"/>
        <v>0.12963345259964948</v>
      </c>
      <c r="F14" s="37">
        <f t="shared" si="29"/>
        <v>993773.42480338318</v>
      </c>
      <c r="G14" s="18">
        <f t="shared" si="30"/>
        <v>0.62869113500804097</v>
      </c>
      <c r="H14" s="38">
        <f t="shared" si="31"/>
        <v>134501.58047991988</v>
      </c>
      <c r="I14" s="18">
        <f t="shared" si="32"/>
        <v>8.5089769138298577E-2</v>
      </c>
      <c r="J14" s="17">
        <f t="shared" si="42"/>
        <v>1580702.1436538512</v>
      </c>
      <c r="K14" s="16">
        <f t="shared" si="44"/>
        <v>-9630.8849646088202</v>
      </c>
      <c r="L14" s="18">
        <f t="shared" si="33"/>
        <v>-6.05589193665636E-3</v>
      </c>
      <c r="M14" s="19">
        <f t="shared" si="34"/>
        <v>26</v>
      </c>
      <c r="N14" s="50">
        <v>1.4E-2</v>
      </c>
      <c r="O14" s="29">
        <f t="shared" si="10"/>
        <v>7.599500880924849E-2</v>
      </c>
      <c r="P14" s="17">
        <f t="shared" si="0"/>
        <v>120125.4733317724</v>
      </c>
      <c r="Q14" s="20">
        <f t="shared" si="43"/>
        <v>7.8593255762306399E-3</v>
      </c>
      <c r="R14" s="42">
        <f t="shared" si="35"/>
        <v>0.2</v>
      </c>
      <c r="S14" s="17">
        <f t="shared" si="11"/>
        <v>137412.97647825093</v>
      </c>
      <c r="T14" s="42">
        <f t="shared" si="12"/>
        <v>-0.2</v>
      </c>
      <c r="U14" s="17">
        <f t="shared" si="11"/>
        <v>91608.650985500615</v>
      </c>
      <c r="V14" s="42">
        <f t="shared" si="12"/>
        <v>-0.1</v>
      </c>
      <c r="W14" s="42">
        <f t="shared" si="13"/>
        <v>0.1</v>
      </c>
      <c r="X14" s="29">
        <f t="shared" si="14"/>
        <v>7.599500880924849E-2</v>
      </c>
      <c r="Y14" s="21">
        <f t="shared" si="1"/>
        <v>2.9228849542018648E-3</v>
      </c>
      <c r="Z14" s="17">
        <f t="shared" si="2"/>
        <v>4620.2105127604764</v>
      </c>
      <c r="AA14" s="17">
        <f t="shared" si="36"/>
        <v>58384.68124340364</v>
      </c>
      <c r="AB14" s="44">
        <v>0</v>
      </c>
      <c r="AC14" s="17">
        <f t="shared" si="15"/>
        <v>0</v>
      </c>
      <c r="AD14" s="17">
        <f t="shared" si="36"/>
        <v>0</v>
      </c>
      <c r="AE14" s="44">
        <v>0.3</v>
      </c>
      <c r="AF14" s="17">
        <f t="shared" si="16"/>
        <v>1386.063153828143</v>
      </c>
      <c r="AG14" s="17">
        <f t="shared" si="36"/>
        <v>17515.404373021094</v>
      </c>
      <c r="AH14" s="44">
        <v>0.7</v>
      </c>
      <c r="AI14" s="17">
        <f t="shared" si="17"/>
        <v>3234.1473589323332</v>
      </c>
      <c r="AJ14" s="17">
        <f t="shared" si="37"/>
        <v>40869.27687038255</v>
      </c>
      <c r="AK14" s="37">
        <f t="shared" si="38"/>
        <v>1153.8461538461538</v>
      </c>
      <c r="AL14" s="17">
        <f t="shared" si="36"/>
        <v>15000.000000000004</v>
      </c>
      <c r="AM14" s="37"/>
      <c r="AN14" s="23">
        <f t="shared" si="18"/>
        <v>2</v>
      </c>
      <c r="AO14" s="37"/>
      <c r="AP14" s="23">
        <f t="shared" si="19"/>
        <v>2</v>
      </c>
      <c r="AQ14" s="37"/>
      <c r="AR14" s="23">
        <f t="shared" si="20"/>
        <v>2</v>
      </c>
      <c r="AS14" s="17">
        <f t="shared" si="21"/>
        <v>5774.0566666066297</v>
      </c>
      <c r="AT14" s="17">
        <f t="shared" si="22"/>
        <v>73390.681243403655</v>
      </c>
      <c r="AU14" s="46">
        <f t="shared" si="39"/>
        <v>25900</v>
      </c>
      <c r="AV14" s="17">
        <f t="shared" si="3"/>
        <v>47490.681243403655</v>
      </c>
      <c r="AW14" s="17">
        <f t="shared" si="40"/>
        <v>5681.0707640238816</v>
      </c>
      <c r="AX14" s="44">
        <f t="shared" si="41"/>
        <v>0.12</v>
      </c>
      <c r="AY14" s="22">
        <f t="shared" si="4"/>
        <v>0.12</v>
      </c>
      <c r="AZ14" s="12">
        <f t="shared" si="23"/>
        <v>0.22</v>
      </c>
    </row>
    <row r="15" spans="1:56" ht="18.75" thickBot="1" x14ac:dyDescent="0.4">
      <c r="A15" s="5">
        <f t="shared" si="24"/>
        <v>44744</v>
      </c>
      <c r="B15" s="37">
        <f t="shared" si="25"/>
        <v>245877.85330100884</v>
      </c>
      <c r="C15" s="18">
        <f t="shared" si="26"/>
        <v>0.15649605089384722</v>
      </c>
      <c r="D15" s="37">
        <f t="shared" si="27"/>
        <v>203556.30553878026</v>
      </c>
      <c r="E15" s="18">
        <f t="shared" si="28"/>
        <v>0.1295592812597155</v>
      </c>
      <c r="F15" s="37">
        <f t="shared" si="29"/>
        <v>985822.33756479644</v>
      </c>
      <c r="G15" s="18">
        <f t="shared" si="30"/>
        <v>0.62745505803225921</v>
      </c>
      <c r="H15" s="38">
        <f t="shared" si="31"/>
        <v>135887.64363374803</v>
      </c>
      <c r="I15" s="18">
        <f t="shared" si="32"/>
        <v>8.648960981417822E-2</v>
      </c>
      <c r="J15" s="17">
        <f t="shared" si="42"/>
        <v>1571144.1400383334</v>
      </c>
      <c r="K15" s="16">
        <f t="shared" si="44"/>
        <v>-9558.0036155178677</v>
      </c>
      <c r="L15" s="18">
        <f t="shared" si="33"/>
        <v>-6.0466822632530819E-3</v>
      </c>
      <c r="M15" s="19">
        <f t="shared" si="34"/>
        <v>26</v>
      </c>
      <c r="N15" s="50">
        <v>0</v>
      </c>
      <c r="O15" s="29">
        <f t="shared" si="10"/>
        <v>7.599500880924849E-2</v>
      </c>
      <c r="P15" s="17">
        <f t="shared" si="0"/>
        <v>119399.11276281229</v>
      </c>
      <c r="Q15" s="20">
        <f t="shared" si="43"/>
        <v>-6.0466822632530871E-3</v>
      </c>
      <c r="R15" s="42">
        <f t="shared" si="35"/>
        <v>0.2</v>
      </c>
      <c r="S15" s="17">
        <f t="shared" si="11"/>
        <v>137412.97647825093</v>
      </c>
      <c r="T15" s="42">
        <f t="shared" si="12"/>
        <v>-0.2</v>
      </c>
      <c r="U15" s="17">
        <f t="shared" si="11"/>
        <v>91608.650985500615</v>
      </c>
      <c r="V15" s="42">
        <f t="shared" si="12"/>
        <v>-0.1</v>
      </c>
      <c r="W15" s="42">
        <f t="shared" si="13"/>
        <v>0.1</v>
      </c>
      <c r="X15" s="29">
        <f t="shared" si="14"/>
        <v>7.599500880924849E-2</v>
      </c>
      <c r="Y15" s="21">
        <f t="shared" si="1"/>
        <v>2.9228849542018648E-3</v>
      </c>
      <c r="Z15" s="17">
        <f t="shared" si="2"/>
        <v>4592.2735678004719</v>
      </c>
      <c r="AA15" s="17">
        <f t="shared" si="36"/>
        <v>62976.954811204108</v>
      </c>
      <c r="AB15" s="44">
        <v>0</v>
      </c>
      <c r="AC15" s="17">
        <f t="shared" si="15"/>
        <v>0</v>
      </c>
      <c r="AD15" s="17">
        <f t="shared" si="36"/>
        <v>0</v>
      </c>
      <c r="AE15" s="44">
        <v>0.3</v>
      </c>
      <c r="AF15" s="17">
        <f t="shared" si="16"/>
        <v>1377.6820703401415</v>
      </c>
      <c r="AG15" s="17">
        <f t="shared" si="36"/>
        <v>18893.086443361237</v>
      </c>
      <c r="AH15" s="44">
        <v>0.7</v>
      </c>
      <c r="AI15" s="17">
        <f t="shared" si="17"/>
        <v>3214.5914974603302</v>
      </c>
      <c r="AJ15" s="17">
        <f t="shared" si="37"/>
        <v>44083.868367842879</v>
      </c>
      <c r="AK15" s="37">
        <f t="shared" si="38"/>
        <v>1153.8461538461538</v>
      </c>
      <c r="AL15" s="17">
        <f t="shared" si="36"/>
        <v>16153.846153846158</v>
      </c>
      <c r="AM15" s="37"/>
      <c r="AN15" s="23">
        <f t="shared" si="18"/>
        <v>2</v>
      </c>
      <c r="AO15" s="37"/>
      <c r="AP15" s="23">
        <f t="shared" si="19"/>
        <v>2</v>
      </c>
      <c r="AQ15" s="37"/>
      <c r="AR15" s="23">
        <f t="shared" si="20"/>
        <v>2</v>
      </c>
      <c r="AS15" s="17">
        <f t="shared" si="21"/>
        <v>5746.1197216466262</v>
      </c>
      <c r="AT15" s="17">
        <f t="shared" si="22"/>
        <v>79136.800965050279</v>
      </c>
      <c r="AU15" s="46">
        <f t="shared" si="39"/>
        <v>25900</v>
      </c>
      <c r="AV15" s="17">
        <f t="shared" si="3"/>
        <v>53236.800965050279</v>
      </c>
      <c r="AW15" s="17">
        <f t="shared" si="40"/>
        <v>6370.6051306214767</v>
      </c>
      <c r="AX15" s="44">
        <f t="shared" si="41"/>
        <v>0.12</v>
      </c>
      <c r="AY15" s="22">
        <f t="shared" si="4"/>
        <v>0.12</v>
      </c>
      <c r="AZ15" s="12">
        <f t="shared" si="23"/>
        <v>0.22</v>
      </c>
    </row>
    <row r="16" spans="1:56" ht="18.75" thickBot="1" x14ac:dyDescent="0.4">
      <c r="A16" s="5">
        <f t="shared" si="24"/>
        <v>44758</v>
      </c>
      <c r="B16" s="37">
        <f t="shared" si="25"/>
        <v>244251.27673301756</v>
      </c>
      <c r="C16" s="18">
        <f t="shared" si="26"/>
        <v>0.15640505259725779</v>
      </c>
      <c r="D16" s="37">
        <f t="shared" si="27"/>
        <v>202209.7022867545</v>
      </c>
      <c r="E16" s="18">
        <f t="shared" si="28"/>
        <v>0.12948394597914678</v>
      </c>
      <c r="F16" s="37">
        <f t="shared" si="29"/>
        <v>977932.17546580068</v>
      </c>
      <c r="G16" s="18">
        <f t="shared" si="30"/>
        <v>0.62621385397083262</v>
      </c>
      <c r="H16" s="38">
        <f t="shared" si="31"/>
        <v>137265.32570408817</v>
      </c>
      <c r="I16" s="18">
        <f t="shared" si="32"/>
        <v>8.7897147452762864E-2</v>
      </c>
      <c r="J16" s="17">
        <f t="shared" si="42"/>
        <v>1561658.4801896608</v>
      </c>
      <c r="K16" s="16">
        <f t="shared" si="44"/>
        <v>-9485.6598486725707</v>
      </c>
      <c r="L16" s="18">
        <f t="shared" si="33"/>
        <v>-6.0374217787816306E-3</v>
      </c>
      <c r="M16" s="19">
        <f t="shared" si="34"/>
        <v>26</v>
      </c>
      <c r="N16" s="50">
        <v>0</v>
      </c>
      <c r="O16" s="29">
        <f t="shared" si="10"/>
        <v>7.599500880924849E-2</v>
      </c>
      <c r="P16" s="17">
        <f t="shared" si="0"/>
        <v>118678.24995905088</v>
      </c>
      <c r="Q16" s="20">
        <f t="shared" si="43"/>
        <v>-6.0374217787816644E-3</v>
      </c>
      <c r="R16" s="42">
        <f t="shared" si="35"/>
        <v>0.2</v>
      </c>
      <c r="S16" s="17">
        <f t="shared" si="11"/>
        <v>137412.97647825093</v>
      </c>
      <c r="T16" s="42">
        <f t="shared" si="12"/>
        <v>-0.2</v>
      </c>
      <c r="U16" s="17">
        <f t="shared" si="11"/>
        <v>91608.650985500615</v>
      </c>
      <c r="V16" s="42">
        <f t="shared" si="12"/>
        <v>-0.1</v>
      </c>
      <c r="W16" s="42">
        <f t="shared" si="13"/>
        <v>0.1</v>
      </c>
      <c r="X16" s="29">
        <f t="shared" si="14"/>
        <v>7.599500880924849E-2</v>
      </c>
      <c r="Y16" s="21">
        <f t="shared" si="1"/>
        <v>2.9228849542018648E-3</v>
      </c>
      <c r="Z16" s="17">
        <f t="shared" si="2"/>
        <v>4564.5480753481106</v>
      </c>
      <c r="AA16" s="17">
        <f t="shared" si="36"/>
        <v>67541.502886552218</v>
      </c>
      <c r="AB16" s="44">
        <v>0</v>
      </c>
      <c r="AC16" s="17">
        <f t="shared" si="15"/>
        <v>0</v>
      </c>
      <c r="AD16" s="17">
        <f t="shared" si="36"/>
        <v>0</v>
      </c>
      <c r="AE16" s="44">
        <v>0.3</v>
      </c>
      <c r="AF16" s="17">
        <f t="shared" si="16"/>
        <v>1369.3644226044332</v>
      </c>
      <c r="AG16" s="17">
        <f t="shared" si="36"/>
        <v>20262.450865965671</v>
      </c>
      <c r="AH16" s="44">
        <v>0.7</v>
      </c>
      <c r="AI16" s="17">
        <f t="shared" si="17"/>
        <v>3195.1836527436772</v>
      </c>
      <c r="AJ16" s="17">
        <f t="shared" si="37"/>
        <v>47279.052020586554</v>
      </c>
      <c r="AK16" s="37">
        <f t="shared" si="38"/>
        <v>1153.8461538461538</v>
      </c>
      <c r="AL16" s="17">
        <f t="shared" si="36"/>
        <v>17307.692307692312</v>
      </c>
      <c r="AM16" s="37"/>
      <c r="AN16" s="23">
        <f t="shared" si="18"/>
        <v>2</v>
      </c>
      <c r="AO16" s="37"/>
      <c r="AP16" s="23">
        <f t="shared" si="19"/>
        <v>2</v>
      </c>
      <c r="AQ16" s="37"/>
      <c r="AR16" s="23">
        <f t="shared" si="20"/>
        <v>2</v>
      </c>
      <c r="AS16" s="17">
        <f t="shared" si="21"/>
        <v>5718.394229194264</v>
      </c>
      <c r="AT16" s="17">
        <f t="shared" si="22"/>
        <v>84855.195194244545</v>
      </c>
      <c r="AU16" s="46">
        <f t="shared" si="39"/>
        <v>25900</v>
      </c>
      <c r="AV16" s="17">
        <f t="shared" si="3"/>
        <v>58955.195194244545</v>
      </c>
      <c r="AW16" s="17">
        <f t="shared" si="40"/>
        <v>7056.8124381247881</v>
      </c>
      <c r="AX16" s="44">
        <f t="shared" si="41"/>
        <v>0.12</v>
      </c>
      <c r="AY16" s="22">
        <f t="shared" si="4"/>
        <v>0.12</v>
      </c>
      <c r="AZ16" s="12">
        <f t="shared" si="23"/>
        <v>0.22</v>
      </c>
    </row>
    <row r="17" spans="1:52" ht="18.75" thickBot="1" x14ac:dyDescent="0.4">
      <c r="A17" s="5">
        <f t="shared" si="24"/>
        <v>44772</v>
      </c>
      <c r="B17" s="37">
        <f t="shared" si="25"/>
        <v>242635.4605946299</v>
      </c>
      <c r="C17" s="18">
        <f t="shared" si="26"/>
        <v>0.15631264288299129</v>
      </c>
      <c r="D17" s="37">
        <f t="shared" si="27"/>
        <v>200872.00733316521</v>
      </c>
      <c r="E17" s="18">
        <f t="shared" si="28"/>
        <v>0.12940744222014838</v>
      </c>
      <c r="F17" s="37">
        <f t="shared" si="29"/>
        <v>970102.47244706436</v>
      </c>
      <c r="G17" s="18">
        <f t="shared" si="30"/>
        <v>0.6249675169651645</v>
      </c>
      <c r="H17" s="38">
        <f t="shared" si="31"/>
        <v>138634.69012669261</v>
      </c>
      <c r="I17" s="18">
        <f t="shared" si="32"/>
        <v>8.9312397931695708E-2</v>
      </c>
      <c r="J17" s="17">
        <f t="shared" si="42"/>
        <v>1552244.6305015523</v>
      </c>
      <c r="K17" s="16">
        <f t="shared" si="44"/>
        <v>-9413.8496881085448</v>
      </c>
      <c r="L17" s="18">
        <f t="shared" si="33"/>
        <v>-6.0281103759416386E-3</v>
      </c>
      <c r="M17" s="19">
        <f t="shared" si="34"/>
        <v>26</v>
      </c>
      <c r="N17" s="50">
        <v>0</v>
      </c>
      <c r="O17" s="29">
        <f t="shared" si="10"/>
        <v>7.599500880924849E-2</v>
      </c>
      <c r="P17" s="17">
        <f t="shared" si="0"/>
        <v>117962.84436907413</v>
      </c>
      <c r="Q17" s="20">
        <f t="shared" si="43"/>
        <v>-6.0281103759416846E-3</v>
      </c>
      <c r="R17" s="42">
        <f t="shared" si="35"/>
        <v>0.2</v>
      </c>
      <c r="S17" s="17">
        <f t="shared" si="11"/>
        <v>137412.97647825093</v>
      </c>
      <c r="T17" s="42">
        <f t="shared" si="12"/>
        <v>-0.2</v>
      </c>
      <c r="U17" s="17">
        <f t="shared" si="11"/>
        <v>91608.650985500615</v>
      </c>
      <c r="V17" s="42">
        <f t="shared" si="12"/>
        <v>-0.1</v>
      </c>
      <c r="W17" s="42">
        <f t="shared" si="13"/>
        <v>0.1</v>
      </c>
      <c r="X17" s="29">
        <f t="shared" si="14"/>
        <v>7.599500880924849E-2</v>
      </c>
      <c r="Y17" s="21">
        <f t="shared" si="1"/>
        <v>2.9228849542018648E-3</v>
      </c>
      <c r="Z17" s="17">
        <f t="shared" si="2"/>
        <v>4537.0324757336202</v>
      </c>
      <c r="AA17" s="17">
        <f t="shared" si="36"/>
        <v>72078.535362285838</v>
      </c>
      <c r="AB17" s="44">
        <v>0</v>
      </c>
      <c r="AC17" s="17">
        <f t="shared" si="15"/>
        <v>0</v>
      </c>
      <c r="AD17" s="17">
        <f t="shared" si="36"/>
        <v>0</v>
      </c>
      <c r="AE17" s="44">
        <v>0.3</v>
      </c>
      <c r="AF17" s="17">
        <f t="shared" si="16"/>
        <v>1361.1097427200859</v>
      </c>
      <c r="AG17" s="17">
        <f t="shared" si="36"/>
        <v>21623.560608685759</v>
      </c>
      <c r="AH17" s="44">
        <v>0.7</v>
      </c>
      <c r="AI17" s="17">
        <f t="shared" si="17"/>
        <v>3175.9227330135341</v>
      </c>
      <c r="AJ17" s="17">
        <f t="shared" si="37"/>
        <v>50454.974753600087</v>
      </c>
      <c r="AK17" s="37">
        <f t="shared" si="38"/>
        <v>1153.8461538461538</v>
      </c>
      <c r="AL17" s="17">
        <f t="shared" si="36"/>
        <v>18461.538461538465</v>
      </c>
      <c r="AM17" s="37"/>
      <c r="AN17" s="23">
        <f t="shared" si="18"/>
        <v>2</v>
      </c>
      <c r="AO17" s="37"/>
      <c r="AP17" s="23">
        <f t="shared" si="19"/>
        <v>2</v>
      </c>
      <c r="AQ17" s="37"/>
      <c r="AR17" s="23">
        <f t="shared" si="20"/>
        <v>2</v>
      </c>
      <c r="AS17" s="17">
        <f t="shared" si="21"/>
        <v>5690.8786295797745</v>
      </c>
      <c r="AT17" s="17">
        <f t="shared" si="22"/>
        <v>90546.073823824321</v>
      </c>
      <c r="AU17" s="46">
        <f t="shared" si="39"/>
        <v>25900</v>
      </c>
      <c r="AV17" s="17">
        <f t="shared" si="3"/>
        <v>64646.073823824321</v>
      </c>
      <c r="AW17" s="17">
        <f t="shared" si="40"/>
        <v>7739.7178736743608</v>
      </c>
      <c r="AX17" s="44">
        <f t="shared" si="41"/>
        <v>0.12</v>
      </c>
      <c r="AY17" s="22">
        <f t="shared" si="4"/>
        <v>0.12</v>
      </c>
      <c r="AZ17" s="12">
        <f t="shared" si="23"/>
        <v>0.22</v>
      </c>
    </row>
    <row r="18" spans="1:52" ht="18.75" thickBot="1" x14ac:dyDescent="0.4">
      <c r="A18" s="5">
        <f t="shared" si="24"/>
        <v>44786</v>
      </c>
      <c r="B18" s="37">
        <f t="shared" si="25"/>
        <v>241030.33370146542</v>
      </c>
      <c r="C18" s="18">
        <f t="shared" si="26"/>
        <v>0.15621881631044557</v>
      </c>
      <c r="D18" s="37">
        <f t="shared" si="27"/>
        <v>199543.16174619197</v>
      </c>
      <c r="E18" s="18">
        <f t="shared" si="28"/>
        <v>0.12932976547857788</v>
      </c>
      <c r="F18" s="37">
        <f t="shared" si="29"/>
        <v>962332.76599722332</v>
      </c>
      <c r="G18" s="18">
        <f t="shared" si="30"/>
        <v>0.6237160414300551</v>
      </c>
      <c r="H18" s="38">
        <f t="shared" si="31"/>
        <v>139995.7998694127</v>
      </c>
      <c r="I18" s="18">
        <f t="shared" si="32"/>
        <v>9.0735376780921403E-2</v>
      </c>
      <c r="J18" s="17">
        <f t="shared" si="42"/>
        <v>1542902.0613142934</v>
      </c>
      <c r="K18" s="16">
        <f t="shared" si="44"/>
        <v>-9342.5691872588359</v>
      </c>
      <c r="L18" s="18">
        <f t="shared" si="33"/>
        <v>-6.0187479496966395E-3</v>
      </c>
      <c r="M18" s="19">
        <f t="shared" si="34"/>
        <v>26</v>
      </c>
      <c r="N18" s="50">
        <v>0</v>
      </c>
      <c r="O18" s="29">
        <f t="shared" si="10"/>
        <v>7.599500880924849E-2</v>
      </c>
      <c r="P18" s="17">
        <f t="shared" si="0"/>
        <v>117252.85574138738</v>
      </c>
      <c r="Q18" s="20">
        <f t="shared" si="43"/>
        <v>-6.0187479496966283E-3</v>
      </c>
      <c r="R18" s="42">
        <f t="shared" si="35"/>
        <v>0.2</v>
      </c>
      <c r="S18" s="17">
        <f t="shared" si="11"/>
        <v>137412.97647825093</v>
      </c>
      <c r="T18" s="42">
        <f t="shared" si="12"/>
        <v>-0.2</v>
      </c>
      <c r="U18" s="17">
        <f t="shared" si="11"/>
        <v>91608.650985500615</v>
      </c>
      <c r="V18" s="42">
        <f t="shared" si="12"/>
        <v>-0.1</v>
      </c>
      <c r="W18" s="42">
        <f t="shared" si="13"/>
        <v>0.1</v>
      </c>
      <c r="X18" s="29">
        <f t="shared" si="14"/>
        <v>7.599500880924849E-2</v>
      </c>
      <c r="Y18" s="21">
        <f t="shared" si="1"/>
        <v>2.9228849542018648E-3</v>
      </c>
      <c r="Z18" s="17">
        <f t="shared" si="2"/>
        <v>4509.7252208225909</v>
      </c>
      <c r="AA18" s="17">
        <f t="shared" si="36"/>
        <v>76588.260583108437</v>
      </c>
      <c r="AB18" s="44">
        <v>0</v>
      </c>
      <c r="AC18" s="17">
        <f t="shared" si="15"/>
        <v>0</v>
      </c>
      <c r="AD18" s="17">
        <f t="shared" si="36"/>
        <v>0</v>
      </c>
      <c r="AE18" s="44">
        <v>0.3</v>
      </c>
      <c r="AF18" s="17">
        <f t="shared" si="16"/>
        <v>1352.9175662467771</v>
      </c>
      <c r="AG18" s="17">
        <f t="shared" si="36"/>
        <v>22976.478174932538</v>
      </c>
      <c r="AH18" s="44">
        <v>0.7</v>
      </c>
      <c r="AI18" s="17">
        <f t="shared" si="17"/>
        <v>3156.8076545758136</v>
      </c>
      <c r="AJ18" s="17">
        <f t="shared" si="37"/>
        <v>53611.782408175903</v>
      </c>
      <c r="AK18" s="37">
        <f t="shared" si="38"/>
        <v>1153.8461538461538</v>
      </c>
      <c r="AL18" s="17">
        <f t="shared" si="36"/>
        <v>19615.384615384617</v>
      </c>
      <c r="AM18" s="37"/>
      <c r="AN18" s="23">
        <f t="shared" si="18"/>
        <v>2</v>
      </c>
      <c r="AO18" s="37"/>
      <c r="AP18" s="23">
        <f t="shared" si="19"/>
        <v>2</v>
      </c>
      <c r="AQ18" s="37"/>
      <c r="AR18" s="23">
        <f t="shared" si="20"/>
        <v>2</v>
      </c>
      <c r="AS18" s="17">
        <f t="shared" si="21"/>
        <v>5663.5713746687452</v>
      </c>
      <c r="AT18" s="17">
        <f t="shared" si="22"/>
        <v>96209.645198493061</v>
      </c>
      <c r="AU18" s="46">
        <f t="shared" si="39"/>
        <v>25900</v>
      </c>
      <c r="AV18" s="17">
        <f t="shared" si="3"/>
        <v>70309.645198493061</v>
      </c>
      <c r="AW18" s="17">
        <f t="shared" si="40"/>
        <v>8419.3464386346095</v>
      </c>
      <c r="AX18" s="44">
        <f t="shared" si="41"/>
        <v>0.12</v>
      </c>
      <c r="AY18" s="22">
        <f t="shared" si="4"/>
        <v>0.12</v>
      </c>
      <c r="AZ18" s="12">
        <f t="shared" si="23"/>
        <v>0.22</v>
      </c>
    </row>
    <row r="19" spans="1:52" ht="18.75" thickBot="1" x14ac:dyDescent="0.4">
      <c r="A19" s="5">
        <f t="shared" si="24"/>
        <v>44800</v>
      </c>
      <c r="B19" s="37">
        <f t="shared" si="25"/>
        <v>239435.82534005574</v>
      </c>
      <c r="C19" s="18">
        <f t="shared" si="26"/>
        <v>0.15612356748068421</v>
      </c>
      <c r="D19" s="37">
        <f t="shared" si="27"/>
        <v>198223.10698387102</v>
      </c>
      <c r="E19" s="18">
        <f t="shared" si="28"/>
        <v>0.12925091128478688</v>
      </c>
      <c r="F19" s="37">
        <f t="shared" si="29"/>
        <v>954622.59712597157</v>
      </c>
      <c r="G19" s="18">
        <f t="shared" si="30"/>
        <v>0.62245942205729543</v>
      </c>
      <c r="H19" s="38">
        <f t="shared" si="31"/>
        <v>141348.71743565949</v>
      </c>
      <c r="I19" s="18">
        <f t="shared" si="32"/>
        <v>9.2166099177233562E-2</v>
      </c>
      <c r="J19" s="17">
        <f t="shared" si="42"/>
        <v>1533630.2468855577</v>
      </c>
      <c r="K19" s="16">
        <f t="shared" si="44"/>
        <v>-9271.8144287357572</v>
      </c>
      <c r="L19" s="18">
        <f t="shared" si="33"/>
        <v>-6.009334397309528E-3</v>
      </c>
      <c r="M19" s="19">
        <f t="shared" si="34"/>
        <v>26</v>
      </c>
      <c r="N19" s="50">
        <v>0</v>
      </c>
      <c r="O19" s="29">
        <f t="shared" si="10"/>
        <v>7.599500880924849E-2</v>
      </c>
      <c r="P19" s="17">
        <f t="shared" si="0"/>
        <v>116548.2441221979</v>
      </c>
      <c r="Q19" s="20">
        <f t="shared" si="43"/>
        <v>-6.0093343973094621E-3</v>
      </c>
      <c r="R19" s="42">
        <f t="shared" si="35"/>
        <v>0.2</v>
      </c>
      <c r="S19" s="17">
        <f t="shared" si="11"/>
        <v>137412.97647825093</v>
      </c>
      <c r="T19" s="42">
        <f t="shared" ref="T19:V28" si="45">T18</f>
        <v>-0.2</v>
      </c>
      <c r="U19" s="17">
        <f t="shared" si="11"/>
        <v>91608.650985500615</v>
      </c>
      <c r="V19" s="42">
        <f t="shared" si="45"/>
        <v>-0.1</v>
      </c>
      <c r="W19" s="42">
        <f t="shared" si="13"/>
        <v>0.1</v>
      </c>
      <c r="X19" s="29">
        <f t="shared" si="14"/>
        <v>7.599500880924849E-2</v>
      </c>
      <c r="Y19" s="21">
        <f t="shared" si="1"/>
        <v>2.9228849542018648E-3</v>
      </c>
      <c r="Z19" s="17">
        <f t="shared" si="2"/>
        <v>4482.6247739306882</v>
      </c>
      <c r="AA19" s="17">
        <f t="shared" si="36"/>
        <v>81070.885357039122</v>
      </c>
      <c r="AB19" s="44">
        <v>0</v>
      </c>
      <c r="AC19" s="17">
        <f t="shared" si="15"/>
        <v>0</v>
      </c>
      <c r="AD19" s="17">
        <f t="shared" si="36"/>
        <v>0</v>
      </c>
      <c r="AE19" s="44">
        <v>0.3</v>
      </c>
      <c r="AF19" s="17">
        <f t="shared" si="16"/>
        <v>1344.7874321792065</v>
      </c>
      <c r="AG19" s="17">
        <f t="shared" si="36"/>
        <v>24321.265607111745</v>
      </c>
      <c r="AH19" s="44">
        <v>0.7</v>
      </c>
      <c r="AI19" s="17">
        <f t="shared" si="17"/>
        <v>3137.8373417514817</v>
      </c>
      <c r="AJ19" s="17">
        <f t="shared" si="37"/>
        <v>56749.619749927384</v>
      </c>
      <c r="AK19" s="37">
        <f t="shared" si="38"/>
        <v>1153.8461538461538</v>
      </c>
      <c r="AL19" s="17">
        <f t="shared" si="36"/>
        <v>20769.23076923077</v>
      </c>
      <c r="AM19" s="37"/>
      <c r="AN19" s="23">
        <f t="shared" si="18"/>
        <v>2</v>
      </c>
      <c r="AO19" s="37"/>
      <c r="AP19" s="23">
        <f t="shared" si="19"/>
        <v>2</v>
      </c>
      <c r="AQ19" s="37"/>
      <c r="AR19" s="23">
        <f t="shared" si="20"/>
        <v>2</v>
      </c>
      <c r="AS19" s="17">
        <f t="shared" si="21"/>
        <v>5636.4709277768416</v>
      </c>
      <c r="AT19" s="17">
        <f t="shared" si="22"/>
        <v>101846.1161262699</v>
      </c>
      <c r="AU19" s="46">
        <f t="shared" si="39"/>
        <v>25900</v>
      </c>
      <c r="AV19" s="17">
        <f t="shared" si="3"/>
        <v>75946.116126269902</v>
      </c>
      <c r="AW19" s="17">
        <f t="shared" si="40"/>
        <v>9095.7229499678306</v>
      </c>
      <c r="AX19" s="44">
        <f t="shared" si="41"/>
        <v>0.12</v>
      </c>
      <c r="AY19" s="22">
        <f t="shared" si="4"/>
        <v>0.12</v>
      </c>
      <c r="AZ19" s="12">
        <f t="shared" si="23"/>
        <v>0.22</v>
      </c>
    </row>
    <row r="20" spans="1:52" ht="18.75" thickBot="1" x14ac:dyDescent="0.4">
      <c r="A20" s="5">
        <f t="shared" si="24"/>
        <v>44814</v>
      </c>
      <c r="B20" s="37">
        <f t="shared" si="25"/>
        <v>237851.86526472922</v>
      </c>
      <c r="C20" s="18">
        <f t="shared" si="26"/>
        <v>0.15602689103745943</v>
      </c>
      <c r="D20" s="37">
        <f t="shared" si="27"/>
        <v>196911.7848915162</v>
      </c>
      <c r="E20" s="18">
        <f t="shared" si="28"/>
        <v>0.12917087520446788</v>
      </c>
      <c r="F20" s="37">
        <f t="shared" si="29"/>
        <v>946971.51033735659</v>
      </c>
      <c r="G20" s="18">
        <f t="shared" si="30"/>
        <v>0.62119765381926251</v>
      </c>
      <c r="H20" s="38">
        <f t="shared" si="31"/>
        <v>142693.5048678387</v>
      </c>
      <c r="I20" s="18">
        <f t="shared" si="32"/>
        <v>9.3604579938810176E-2</v>
      </c>
      <c r="J20" s="17">
        <f t="shared" si="42"/>
        <v>1524428.6653614407</v>
      </c>
      <c r="K20" s="16">
        <f t="shared" si="44"/>
        <v>-9201.5815241169184</v>
      </c>
      <c r="L20" s="18">
        <f t="shared" si="33"/>
        <v>-5.9998696183797672E-3</v>
      </c>
      <c r="M20" s="19">
        <f t="shared" si="34"/>
        <v>26</v>
      </c>
      <c r="N20" s="50">
        <v>2E-3</v>
      </c>
      <c r="O20" s="29">
        <f t="shared" si="10"/>
        <v>7.6146998826866985E-2</v>
      </c>
      <c r="P20" s="17">
        <f t="shared" si="0"/>
        <v>116080.66779292004</v>
      </c>
      <c r="Q20" s="20">
        <f t="shared" si="43"/>
        <v>-4.0118693576165375E-3</v>
      </c>
      <c r="R20" s="42">
        <f t="shared" si="35"/>
        <v>0.2</v>
      </c>
      <c r="S20" s="17">
        <f t="shared" si="11"/>
        <v>137412.97647825093</v>
      </c>
      <c r="T20" s="42">
        <f t="shared" si="45"/>
        <v>-0.2</v>
      </c>
      <c r="U20" s="17">
        <f t="shared" si="11"/>
        <v>91608.650985500615</v>
      </c>
      <c r="V20" s="42">
        <f t="shared" si="45"/>
        <v>-0.1</v>
      </c>
      <c r="W20" s="42">
        <f t="shared" si="13"/>
        <v>0.1</v>
      </c>
      <c r="X20" s="29">
        <f t="shared" si="14"/>
        <v>7.6146998826866985E-2</v>
      </c>
      <c r="Y20" s="21">
        <f t="shared" si="1"/>
        <v>2.9287307241102688E-3</v>
      </c>
      <c r="Z20" s="17">
        <f t="shared" si="2"/>
        <v>4464.6410689584627</v>
      </c>
      <c r="AA20" s="17">
        <f t="shared" ref="AA20:AL28" si="46">AA19+Z20</f>
        <v>85535.526425997581</v>
      </c>
      <c r="AB20" s="44">
        <v>0</v>
      </c>
      <c r="AC20" s="17">
        <f t="shared" si="15"/>
        <v>0</v>
      </c>
      <c r="AD20" s="17">
        <f t="shared" si="46"/>
        <v>0</v>
      </c>
      <c r="AE20" s="44">
        <v>0.3</v>
      </c>
      <c r="AF20" s="17">
        <f t="shared" si="16"/>
        <v>1339.3923206875388</v>
      </c>
      <c r="AG20" s="17">
        <f t="shared" si="46"/>
        <v>25660.657927799286</v>
      </c>
      <c r="AH20" s="44">
        <v>0.7</v>
      </c>
      <c r="AI20" s="17">
        <f t="shared" si="17"/>
        <v>3125.2487482709239</v>
      </c>
      <c r="AJ20" s="17">
        <f t="shared" si="37"/>
        <v>59874.86849819831</v>
      </c>
      <c r="AK20" s="37">
        <f t="shared" si="38"/>
        <v>1153.8461538461538</v>
      </c>
      <c r="AL20" s="17">
        <f t="shared" si="46"/>
        <v>21923.076923076922</v>
      </c>
      <c r="AM20" s="37"/>
      <c r="AN20" s="23">
        <f t="shared" si="18"/>
        <v>2</v>
      </c>
      <c r="AO20" s="37"/>
      <c r="AP20" s="23">
        <f t="shared" si="19"/>
        <v>2</v>
      </c>
      <c r="AQ20" s="37"/>
      <c r="AR20" s="23">
        <f t="shared" si="20"/>
        <v>2</v>
      </c>
      <c r="AS20" s="17">
        <f t="shared" si="21"/>
        <v>5618.487222804617</v>
      </c>
      <c r="AT20" s="17">
        <f t="shared" si="22"/>
        <v>107464.60334907452</v>
      </c>
      <c r="AU20" s="46">
        <f t="shared" si="39"/>
        <v>25900</v>
      </c>
      <c r="AV20" s="17">
        <f t="shared" si="3"/>
        <v>81564.603349074518</v>
      </c>
      <c r="AW20" s="17">
        <f t="shared" si="40"/>
        <v>9769.9414167043851</v>
      </c>
      <c r="AX20" s="44">
        <f t="shared" si="41"/>
        <v>0.12</v>
      </c>
      <c r="AY20" s="22">
        <f t="shared" si="4"/>
        <v>0.12</v>
      </c>
      <c r="AZ20" s="12">
        <f t="shared" si="23"/>
        <v>0.22</v>
      </c>
    </row>
    <row r="21" spans="1:52" ht="18.75" thickBot="1" x14ac:dyDescent="0.4">
      <c r="A21" s="5">
        <f t="shared" si="24"/>
        <v>44828</v>
      </c>
      <c r="B21" s="37">
        <f t="shared" si="25"/>
        <v>236278.38369451641</v>
      </c>
      <c r="C21" s="18">
        <f t="shared" si="26"/>
        <v>0.15592877984831521</v>
      </c>
      <c r="D21" s="37">
        <f t="shared" si="27"/>
        <v>195609.13769915694</v>
      </c>
      <c r="E21" s="18">
        <f t="shared" si="28"/>
        <v>0.12908965133283368</v>
      </c>
      <c r="F21" s="37">
        <f t="shared" si="29"/>
        <v>939376.39785132802</v>
      </c>
      <c r="G21" s="18">
        <f t="shared" si="30"/>
        <v>0.61992897210876985</v>
      </c>
      <c r="H21" s="38">
        <f t="shared" si="31"/>
        <v>144032.89718852623</v>
      </c>
      <c r="I21" s="18">
        <f t="shared" si="32"/>
        <v>9.505259671008133E-2</v>
      </c>
      <c r="J21" s="17">
        <f t="shared" si="42"/>
        <v>1515296.8164335275</v>
      </c>
      <c r="K21" s="16">
        <f t="shared" si="44"/>
        <v>-9131.8489279132336</v>
      </c>
      <c r="L21" s="18">
        <f t="shared" si="33"/>
        <v>-5.9903419132754767E-3</v>
      </c>
      <c r="M21" s="19">
        <f t="shared" si="34"/>
        <v>26</v>
      </c>
      <c r="N21" s="50">
        <v>2E-3</v>
      </c>
      <c r="O21" s="29">
        <f t="shared" si="10"/>
        <v>7.629929282452072E-2</v>
      </c>
      <c r="P21" s="17">
        <f t="shared" si="0"/>
        <v>115616.07551312573</v>
      </c>
      <c r="Q21" s="20">
        <f t="shared" si="43"/>
        <v>-4.0023225971020995E-3</v>
      </c>
      <c r="R21" s="42">
        <f t="shared" si="35"/>
        <v>0.2</v>
      </c>
      <c r="S21" s="17">
        <f t="shared" si="11"/>
        <v>137412.97647825093</v>
      </c>
      <c r="T21" s="42">
        <f t="shared" si="45"/>
        <v>-0.2</v>
      </c>
      <c r="U21" s="17">
        <f t="shared" si="11"/>
        <v>91608.650985500615</v>
      </c>
      <c r="V21" s="42">
        <f t="shared" si="45"/>
        <v>-0.1</v>
      </c>
      <c r="W21" s="42">
        <f t="shared" si="13"/>
        <v>0.1</v>
      </c>
      <c r="X21" s="29">
        <f t="shared" si="14"/>
        <v>7.629929282452072E-2</v>
      </c>
      <c r="Y21" s="21">
        <f t="shared" si="1"/>
        <v>2.9345881855584893E-3</v>
      </c>
      <c r="Z21" s="17">
        <f t="shared" si="2"/>
        <v>4446.7721351202208</v>
      </c>
      <c r="AA21" s="17">
        <f t="shared" si="46"/>
        <v>89982.298561117801</v>
      </c>
      <c r="AB21" s="44">
        <v>0</v>
      </c>
      <c r="AC21" s="17">
        <f t="shared" si="15"/>
        <v>0</v>
      </c>
      <c r="AD21" s="17">
        <f t="shared" si="46"/>
        <v>0</v>
      </c>
      <c r="AE21" s="44">
        <v>0.3</v>
      </c>
      <c r="AF21" s="17">
        <f t="shared" si="16"/>
        <v>1334.0316405360661</v>
      </c>
      <c r="AG21" s="17">
        <f t="shared" si="46"/>
        <v>26994.68956833535</v>
      </c>
      <c r="AH21" s="44">
        <v>0.7</v>
      </c>
      <c r="AI21" s="17">
        <f t="shared" si="17"/>
        <v>3112.7404945841545</v>
      </c>
      <c r="AJ21" s="17">
        <f t="shared" si="37"/>
        <v>62987.608992782465</v>
      </c>
      <c r="AK21" s="37">
        <f t="shared" si="38"/>
        <v>1153.8461538461538</v>
      </c>
      <c r="AL21" s="17">
        <f t="shared" si="46"/>
        <v>23076.923076923074</v>
      </c>
      <c r="AM21" s="37"/>
      <c r="AN21" s="23">
        <f t="shared" si="18"/>
        <v>2</v>
      </c>
      <c r="AO21" s="37"/>
      <c r="AP21" s="23">
        <f t="shared" si="19"/>
        <v>2</v>
      </c>
      <c r="AQ21" s="37"/>
      <c r="AR21" s="23">
        <f t="shared" si="20"/>
        <v>2</v>
      </c>
      <c r="AS21" s="17">
        <f t="shared" si="21"/>
        <v>5600.6182889663742</v>
      </c>
      <c r="AT21" s="17">
        <f t="shared" si="22"/>
        <v>113065.22163804089</v>
      </c>
      <c r="AU21" s="46">
        <f t="shared" si="39"/>
        <v>25900</v>
      </c>
      <c r="AV21" s="17">
        <f t="shared" si="3"/>
        <v>87165.221638040894</v>
      </c>
      <c r="AW21" s="17">
        <f t="shared" si="40"/>
        <v>11002.077440276988</v>
      </c>
      <c r="AX21" s="44">
        <f t="shared" si="41"/>
        <v>0.12</v>
      </c>
      <c r="AY21" s="22">
        <f t="shared" si="4"/>
        <v>0.22</v>
      </c>
      <c r="AZ21" s="12">
        <f t="shared" si="23"/>
        <v>0.22</v>
      </c>
    </row>
    <row r="22" spans="1:52" ht="18.75" thickBot="1" x14ac:dyDescent="0.4">
      <c r="A22" s="5">
        <f t="shared" si="24"/>
        <v>44842</v>
      </c>
      <c r="B22" s="37">
        <f t="shared" si="25"/>
        <v>234715.31131007578</v>
      </c>
      <c r="C22" s="18">
        <f t="shared" si="26"/>
        <v>0.15582922681680053</v>
      </c>
      <c r="D22" s="37">
        <f t="shared" si="27"/>
        <v>194315.10801899328</v>
      </c>
      <c r="E22" s="18">
        <f t="shared" si="28"/>
        <v>0.12900723379490475</v>
      </c>
      <c r="F22" s="37">
        <f t="shared" si="29"/>
        <v>931836.85517278221</v>
      </c>
      <c r="G22" s="18">
        <f t="shared" si="30"/>
        <v>0.61865336287816419</v>
      </c>
      <c r="H22" s="38">
        <f t="shared" si="31"/>
        <v>145366.92882906229</v>
      </c>
      <c r="I22" s="18">
        <f t="shared" si="32"/>
        <v>9.6510176510130524E-2</v>
      </c>
      <c r="J22" s="17">
        <f t="shared" si="42"/>
        <v>1506234.2033309136</v>
      </c>
      <c r="K22" s="16">
        <f t="shared" si="44"/>
        <v>-9062.6131026139483</v>
      </c>
      <c r="L22" s="18">
        <f t="shared" si="33"/>
        <v>-5.9807511005956788E-3</v>
      </c>
      <c r="M22" s="19">
        <f t="shared" si="34"/>
        <v>26</v>
      </c>
      <c r="N22" s="50">
        <v>4.0000000000000001E-3</v>
      </c>
      <c r="O22" s="29">
        <f t="shared" si="10"/>
        <v>7.66044899958188E-2</v>
      </c>
      <c r="P22" s="17">
        <f t="shared" si="0"/>
        <v>115384.30296042307</v>
      </c>
      <c r="Q22" s="20">
        <f t="shared" si="43"/>
        <v>-2.0046741049980581E-3</v>
      </c>
      <c r="R22" s="42">
        <f t="shared" si="35"/>
        <v>0.2</v>
      </c>
      <c r="S22" s="17">
        <f t="shared" si="11"/>
        <v>137412.97647825093</v>
      </c>
      <c r="T22" s="42">
        <f t="shared" si="45"/>
        <v>-0.2</v>
      </c>
      <c r="U22" s="17">
        <f t="shared" si="11"/>
        <v>91608.650985500615</v>
      </c>
      <c r="V22" s="42">
        <f t="shared" si="45"/>
        <v>-0.1</v>
      </c>
      <c r="W22" s="42">
        <f t="shared" si="13"/>
        <v>0.1</v>
      </c>
      <c r="X22" s="29">
        <f t="shared" si="14"/>
        <v>7.66044899958188E-2</v>
      </c>
      <c r="Y22" s="21">
        <f t="shared" si="1"/>
        <v>2.946326538300723E-3</v>
      </c>
      <c r="Z22" s="17">
        <f t="shared" si="2"/>
        <v>4437.8578061701182</v>
      </c>
      <c r="AA22" s="17">
        <f t="shared" si="46"/>
        <v>94420.156367287913</v>
      </c>
      <c r="AB22" s="44">
        <v>0</v>
      </c>
      <c r="AC22" s="17">
        <f t="shared" si="15"/>
        <v>0</v>
      </c>
      <c r="AD22" s="17">
        <f t="shared" si="46"/>
        <v>0</v>
      </c>
      <c r="AE22" s="44">
        <v>0.3</v>
      </c>
      <c r="AF22" s="17">
        <f t="shared" si="16"/>
        <v>1331.3573418510355</v>
      </c>
      <c r="AG22" s="17">
        <f t="shared" si="46"/>
        <v>28326.046910186386</v>
      </c>
      <c r="AH22" s="44">
        <v>0.7</v>
      </c>
      <c r="AI22" s="17">
        <f t="shared" si="17"/>
        <v>3106.5004643190828</v>
      </c>
      <c r="AJ22" s="17">
        <f t="shared" si="37"/>
        <v>66094.109457101542</v>
      </c>
      <c r="AK22" s="37">
        <f t="shared" si="38"/>
        <v>1153.8461538461538</v>
      </c>
      <c r="AL22" s="17">
        <f t="shared" si="46"/>
        <v>24230.769230769227</v>
      </c>
      <c r="AM22" s="37"/>
      <c r="AN22" s="23">
        <f t="shared" si="18"/>
        <v>2</v>
      </c>
      <c r="AO22" s="37"/>
      <c r="AP22" s="23">
        <f t="shared" si="19"/>
        <v>2</v>
      </c>
      <c r="AQ22" s="37"/>
      <c r="AR22" s="23">
        <f t="shared" si="20"/>
        <v>2</v>
      </c>
      <c r="AS22" s="17">
        <f t="shared" si="21"/>
        <v>5591.7039600162716</v>
      </c>
      <c r="AT22" s="17">
        <f t="shared" si="22"/>
        <v>118656.92559805716</v>
      </c>
      <c r="AU22" s="46">
        <f t="shared" si="39"/>
        <v>25900</v>
      </c>
      <c r="AV22" s="17">
        <f t="shared" si="3"/>
        <v>92756.925598057162</v>
      </c>
      <c r="AW22" s="17">
        <f t="shared" si="40"/>
        <v>12232.252311480568</v>
      </c>
      <c r="AX22" s="44">
        <f t="shared" si="41"/>
        <v>0.12</v>
      </c>
      <c r="AY22" s="22">
        <f t="shared" si="4"/>
        <v>0.22</v>
      </c>
      <c r="AZ22" s="12">
        <f t="shared" si="23"/>
        <v>0.24</v>
      </c>
    </row>
    <row r="23" spans="1:52" ht="18.75" thickBot="1" x14ac:dyDescent="0.4">
      <c r="A23" s="5">
        <f t="shared" si="24"/>
        <v>44856</v>
      </c>
      <c r="B23" s="37">
        <f t="shared" si="25"/>
        <v>233162.57925063989</v>
      </c>
      <c r="C23" s="18">
        <f t="shared" si="26"/>
        <v>0.15572822305892237</v>
      </c>
      <c r="D23" s="37">
        <f t="shared" si="27"/>
        <v>193029.63884286763</v>
      </c>
      <c r="E23" s="18">
        <f t="shared" si="28"/>
        <v>0.12892361523583901</v>
      </c>
      <c r="F23" s="37">
        <f t="shared" si="29"/>
        <v>924349.84607604973</v>
      </c>
      <c r="G23" s="18">
        <f t="shared" si="30"/>
        <v>0.61736904556830419</v>
      </c>
      <c r="H23" s="38">
        <f t="shared" si="31"/>
        <v>146698.28617091334</v>
      </c>
      <c r="I23" s="18">
        <f t="shared" si="32"/>
        <v>9.7979116136934413E-2</v>
      </c>
      <c r="J23" s="17">
        <f t="shared" si="42"/>
        <v>1497240.3503404707</v>
      </c>
      <c r="K23" s="16">
        <f t="shared" si="44"/>
        <v>-8993.8529904428869</v>
      </c>
      <c r="L23" s="18">
        <f t="shared" si="33"/>
        <v>-5.9710853534953052E-3</v>
      </c>
      <c r="M23" s="19">
        <f t="shared" si="34"/>
        <v>26</v>
      </c>
      <c r="N23" s="50">
        <v>4.0000000000000001E-3</v>
      </c>
      <c r="O23" s="29">
        <f t="shared" si="10"/>
        <v>7.6910907955802077E-2</v>
      </c>
      <c r="P23" s="17">
        <f t="shared" si="0"/>
        <v>115154.1147727488</v>
      </c>
      <c r="Q23" s="20">
        <f t="shared" si="43"/>
        <v>-1.9949696949092357E-3</v>
      </c>
      <c r="R23" s="42">
        <f t="shared" si="35"/>
        <v>0.2</v>
      </c>
      <c r="S23" s="17">
        <f t="shared" si="11"/>
        <v>137412.97647825093</v>
      </c>
      <c r="T23" s="42">
        <f t="shared" si="45"/>
        <v>-0.2</v>
      </c>
      <c r="U23" s="17">
        <f t="shared" si="11"/>
        <v>91608.650985500615</v>
      </c>
      <c r="V23" s="42">
        <f t="shared" si="45"/>
        <v>-0.1</v>
      </c>
      <c r="W23" s="42">
        <f t="shared" si="13"/>
        <v>0.1</v>
      </c>
      <c r="X23" s="29">
        <f t="shared" si="14"/>
        <v>7.6910907955802077E-2</v>
      </c>
      <c r="Y23" s="21">
        <f t="shared" si="1"/>
        <v>2.9581118444539259E-3</v>
      </c>
      <c r="Z23" s="17">
        <f t="shared" si="2"/>
        <v>4429.0044143364921</v>
      </c>
      <c r="AA23" s="17">
        <f t="shared" si="46"/>
        <v>98849.160781624407</v>
      </c>
      <c r="AB23" s="44">
        <v>0</v>
      </c>
      <c r="AC23" s="17">
        <f t="shared" si="15"/>
        <v>0</v>
      </c>
      <c r="AD23" s="17">
        <f t="shared" si="46"/>
        <v>0</v>
      </c>
      <c r="AE23" s="44">
        <v>0.3</v>
      </c>
      <c r="AF23" s="17">
        <f t="shared" si="16"/>
        <v>1328.7013243009476</v>
      </c>
      <c r="AG23" s="17">
        <f t="shared" si="46"/>
        <v>29654.748234487332</v>
      </c>
      <c r="AH23" s="44">
        <v>0.7</v>
      </c>
      <c r="AI23" s="17">
        <f t="shared" si="17"/>
        <v>3100.3030900355443</v>
      </c>
      <c r="AJ23" s="17">
        <f t="shared" si="37"/>
        <v>69194.412547137093</v>
      </c>
      <c r="AK23" s="37">
        <f t="shared" si="38"/>
        <v>1153.8461538461538</v>
      </c>
      <c r="AL23" s="17">
        <f t="shared" si="46"/>
        <v>25384.615384615379</v>
      </c>
      <c r="AM23" s="37"/>
      <c r="AN23" s="23">
        <f t="shared" si="18"/>
        <v>2</v>
      </c>
      <c r="AO23" s="37"/>
      <c r="AP23" s="23">
        <f t="shared" si="19"/>
        <v>2</v>
      </c>
      <c r="AQ23" s="37"/>
      <c r="AR23" s="23">
        <f t="shared" si="20"/>
        <v>2</v>
      </c>
      <c r="AS23" s="17">
        <f t="shared" si="21"/>
        <v>5582.8505681826464</v>
      </c>
      <c r="AT23" s="17">
        <f t="shared" si="22"/>
        <v>124239.77616623981</v>
      </c>
      <c r="AU23" s="46">
        <f t="shared" si="39"/>
        <v>25900</v>
      </c>
      <c r="AV23" s="17">
        <f t="shared" si="3"/>
        <v>98339.776166239812</v>
      </c>
      <c r="AW23" s="17">
        <f t="shared" si="40"/>
        <v>13460.479436480749</v>
      </c>
      <c r="AX23" s="44">
        <f t="shared" si="41"/>
        <v>0.12</v>
      </c>
      <c r="AY23" s="22">
        <f t="shared" si="4"/>
        <v>0.22</v>
      </c>
      <c r="AZ23" s="12">
        <f t="shared" si="23"/>
        <v>0.24</v>
      </c>
    </row>
    <row r="24" spans="1:52" ht="18.75" thickBot="1" x14ac:dyDescent="0.4">
      <c r="A24" s="5">
        <f t="shared" si="24"/>
        <v>44870</v>
      </c>
      <c r="B24" s="37">
        <f t="shared" si="25"/>
        <v>231620.11911098182</v>
      </c>
      <c r="C24" s="18">
        <f t="shared" si="26"/>
        <v>0.15562575971341377</v>
      </c>
      <c r="D24" s="37">
        <f t="shared" si="27"/>
        <v>191752.67353975328</v>
      </c>
      <c r="E24" s="18">
        <f t="shared" si="28"/>
        <v>0.12883878831960863</v>
      </c>
      <c r="F24" s="37">
        <f t="shared" si="29"/>
        <v>916915.00487108342</v>
      </c>
      <c r="G24" s="18">
        <f t="shared" si="30"/>
        <v>0.61607599017474657</v>
      </c>
      <c r="H24" s="38">
        <f t="shared" si="31"/>
        <v>148026.9874952143</v>
      </c>
      <c r="I24" s="18">
        <f t="shared" ref="I24:I25" si="47">IF(J24&lt;=0,0,H24/J24)</f>
        <v>9.9459461792231169E-2</v>
      </c>
      <c r="J24" s="17">
        <f t="shared" ref="J24:J25" si="48">B24+D24+F24+H24</f>
        <v>1488314.7850170326</v>
      </c>
      <c r="K24" s="16">
        <f t="shared" si="44"/>
        <v>-8925.5653234380297</v>
      </c>
      <c r="L24" s="18">
        <f t="shared" si="33"/>
        <v>-5.9613443635875606E-3</v>
      </c>
      <c r="M24" s="19">
        <f t="shared" si="34"/>
        <v>26</v>
      </c>
      <c r="N24" s="50">
        <v>-1E-3</v>
      </c>
      <c r="O24" s="29">
        <f t="shared" si="10"/>
        <v>7.683399704784627E-2</v>
      </c>
      <c r="P24" s="17">
        <f t="shared" si="0"/>
        <v>114353.17379826464</v>
      </c>
      <c r="Q24" s="20">
        <f t="shared" si="43"/>
        <v>-6.9553830192240484E-3</v>
      </c>
      <c r="R24" s="42">
        <f t="shared" si="35"/>
        <v>0.2</v>
      </c>
      <c r="S24" s="17">
        <f t="shared" si="11"/>
        <v>137412.97647825093</v>
      </c>
      <c r="T24" s="42">
        <f t="shared" si="45"/>
        <v>-0.2</v>
      </c>
      <c r="U24" s="17">
        <f t="shared" si="11"/>
        <v>91608.650985500615</v>
      </c>
      <c r="V24" s="42">
        <f t="shared" si="45"/>
        <v>-0.1</v>
      </c>
      <c r="W24" s="42">
        <f t="shared" si="13"/>
        <v>0.1</v>
      </c>
      <c r="X24" s="29">
        <f t="shared" si="14"/>
        <v>7.683399704784627E-2</v>
      </c>
      <c r="Y24" s="21">
        <f t="shared" si="1"/>
        <v>2.9551537326094721E-3</v>
      </c>
      <c r="Z24" s="17">
        <f t="shared" si="2"/>
        <v>4398.1989922409484</v>
      </c>
      <c r="AA24" s="17">
        <f t="shared" si="46"/>
        <v>103247.35977386535</v>
      </c>
      <c r="AB24" s="44">
        <v>1</v>
      </c>
      <c r="AC24" s="17">
        <f t="shared" si="15"/>
        <v>4398.1989922409484</v>
      </c>
      <c r="AD24" s="17">
        <f t="shared" si="46"/>
        <v>4398.1989922409484</v>
      </c>
      <c r="AE24" s="44">
        <v>0</v>
      </c>
      <c r="AF24" s="17">
        <f t="shared" si="16"/>
        <v>0</v>
      </c>
      <c r="AG24" s="17">
        <f t="shared" si="46"/>
        <v>29654.748234487332</v>
      </c>
      <c r="AH24" s="44">
        <v>0</v>
      </c>
      <c r="AI24" s="17">
        <f t="shared" si="17"/>
        <v>0</v>
      </c>
      <c r="AJ24" s="17">
        <f t="shared" si="37"/>
        <v>69194.412547137093</v>
      </c>
      <c r="AK24" s="37">
        <f t="shared" si="38"/>
        <v>1153.8461538461538</v>
      </c>
      <c r="AL24" s="17">
        <f t="shared" si="46"/>
        <v>26538.461538461532</v>
      </c>
      <c r="AM24" s="37"/>
      <c r="AN24" s="23">
        <f t="shared" si="18"/>
        <v>2</v>
      </c>
      <c r="AO24" s="37"/>
      <c r="AP24" s="23">
        <f t="shared" si="19"/>
        <v>2</v>
      </c>
      <c r="AQ24" s="37"/>
      <c r="AR24" s="23">
        <f t="shared" si="20"/>
        <v>2</v>
      </c>
      <c r="AS24" s="17">
        <f t="shared" si="21"/>
        <v>5552.0451460871027</v>
      </c>
      <c r="AT24" s="17">
        <f t="shared" si="22"/>
        <v>129791.82131232691</v>
      </c>
      <c r="AU24" s="46">
        <f t="shared" si="39"/>
        <v>25900</v>
      </c>
      <c r="AV24" s="17">
        <f t="shared" si="3"/>
        <v>103891.82131232691</v>
      </c>
      <c r="AW24" s="17">
        <f t="shared" si="40"/>
        <v>14681.929368619913</v>
      </c>
      <c r="AX24" s="44">
        <f t="shared" si="41"/>
        <v>0.12</v>
      </c>
      <c r="AY24" s="22">
        <f t="shared" si="4"/>
        <v>0.22</v>
      </c>
      <c r="AZ24" s="12">
        <f t="shared" si="23"/>
        <v>0.24</v>
      </c>
    </row>
    <row r="25" spans="1:52" ht="18.75" thickBot="1" x14ac:dyDescent="0.4">
      <c r="A25" s="5">
        <f t="shared" si="24"/>
        <v>44884</v>
      </c>
      <c r="B25" s="37">
        <f t="shared" si="25"/>
        <v>234456.96615269376</v>
      </c>
      <c r="C25" s="18">
        <f t="shared" si="26"/>
        <v>0.15847594781237193</v>
      </c>
      <c r="D25" s="37">
        <f t="shared" si="27"/>
        <v>190484.15585325952</v>
      </c>
      <c r="E25" s="18">
        <f t="shared" si="28"/>
        <v>0.12875350917244668</v>
      </c>
      <c r="F25" s="37">
        <f t="shared" si="29"/>
        <v>906480.15623995173</v>
      </c>
      <c r="G25" s="18">
        <f t="shared" si="30"/>
        <v>0.61271500817627911</v>
      </c>
      <c r="H25" s="38">
        <f t="shared" si="31"/>
        <v>148026.9874952143</v>
      </c>
      <c r="I25" s="18">
        <f t="shared" si="47"/>
        <v>0.10005553483890241</v>
      </c>
      <c r="J25" s="17">
        <f t="shared" si="48"/>
        <v>1479448.2657411192</v>
      </c>
      <c r="K25" s="16">
        <f t="shared" si="44"/>
        <v>-8866.5192759134807</v>
      </c>
      <c r="L25" s="18">
        <f t="shared" si="33"/>
        <v>-5.9574220219897967E-3</v>
      </c>
      <c r="M25" s="19">
        <f t="shared" si="34"/>
        <v>26</v>
      </c>
      <c r="N25" s="50">
        <v>-1E-3</v>
      </c>
      <c r="O25" s="29">
        <f t="shared" si="10"/>
        <v>7.6757163050798424E-2</v>
      </c>
      <c r="P25" s="17">
        <f t="shared" si="0"/>
        <v>113558.25175871204</v>
      </c>
      <c r="Q25" s="20">
        <f t="shared" si="43"/>
        <v>-6.9514645999678368E-3</v>
      </c>
      <c r="R25" s="42">
        <f t="shared" si="35"/>
        <v>0.2</v>
      </c>
      <c r="S25" s="17">
        <f t="shared" si="11"/>
        <v>137412.97647825093</v>
      </c>
      <c r="T25" s="42">
        <f t="shared" si="45"/>
        <v>-0.2</v>
      </c>
      <c r="U25" s="17">
        <f t="shared" si="11"/>
        <v>91608.650985500615</v>
      </c>
      <c r="V25" s="42">
        <f t="shared" si="45"/>
        <v>-0.1</v>
      </c>
      <c r="W25" s="42">
        <f t="shared" si="13"/>
        <v>0.1</v>
      </c>
      <c r="X25" s="29">
        <f t="shared" si="14"/>
        <v>7.6757163050798424E-2</v>
      </c>
      <c r="Y25" s="21">
        <f t="shared" si="1"/>
        <v>2.9521985788768623E-3</v>
      </c>
      <c r="Z25" s="17">
        <f t="shared" si="2"/>
        <v>4367.6250676427708</v>
      </c>
      <c r="AA25" s="17">
        <f t="shared" si="46"/>
        <v>107614.98484150812</v>
      </c>
      <c r="AB25" s="44">
        <v>1</v>
      </c>
      <c r="AC25" s="17">
        <f t="shared" si="15"/>
        <v>4367.6250676427708</v>
      </c>
      <c r="AD25" s="17">
        <f t="shared" si="46"/>
        <v>8765.8240598837183</v>
      </c>
      <c r="AE25" s="44">
        <v>0</v>
      </c>
      <c r="AF25" s="17">
        <f t="shared" si="16"/>
        <v>0</v>
      </c>
      <c r="AG25" s="17">
        <f t="shared" si="46"/>
        <v>29654.748234487332</v>
      </c>
      <c r="AH25" s="44">
        <v>0</v>
      </c>
      <c r="AI25" s="17">
        <f t="shared" si="17"/>
        <v>0</v>
      </c>
      <c r="AJ25" s="17">
        <f t="shared" si="37"/>
        <v>69194.412547137093</v>
      </c>
      <c r="AK25" s="37">
        <f t="shared" si="38"/>
        <v>1153.8461538461538</v>
      </c>
      <c r="AL25" s="17">
        <f t="shared" si="46"/>
        <v>27692.307692307684</v>
      </c>
      <c r="AM25" s="37"/>
      <c r="AN25" s="23">
        <f t="shared" si="18"/>
        <v>2</v>
      </c>
      <c r="AO25" s="37"/>
      <c r="AP25" s="23">
        <f t="shared" si="19"/>
        <v>2</v>
      </c>
      <c r="AQ25" s="37"/>
      <c r="AR25" s="23">
        <f t="shared" si="20"/>
        <v>2</v>
      </c>
      <c r="AS25" s="17">
        <f t="shared" si="21"/>
        <v>5521.4712214889241</v>
      </c>
      <c r="AT25" s="17">
        <f t="shared" si="22"/>
        <v>135313.29253381584</v>
      </c>
      <c r="AU25" s="46">
        <f t="shared" si="39"/>
        <v>25900</v>
      </c>
      <c r="AV25" s="17">
        <f t="shared" si="3"/>
        <v>109413.29253381584</v>
      </c>
      <c r="AW25" s="17">
        <f t="shared" si="40"/>
        <v>15896.653037347476</v>
      </c>
      <c r="AX25" s="44">
        <f t="shared" si="41"/>
        <v>0.12</v>
      </c>
      <c r="AY25" s="22">
        <f t="shared" si="4"/>
        <v>0.22</v>
      </c>
      <c r="AZ25" s="12">
        <f t="shared" si="23"/>
        <v>0.24</v>
      </c>
    </row>
    <row r="26" spans="1:52" ht="18.75" thickBot="1" x14ac:dyDescent="0.4">
      <c r="A26" s="5">
        <f t="shared" si="24"/>
        <v>44898</v>
      </c>
      <c r="B26" s="37">
        <f t="shared" si="25"/>
        <v>237244.67469380199</v>
      </c>
      <c r="C26" s="18">
        <f t="shared" si="26"/>
        <v>0.16132065621699615</v>
      </c>
      <c r="D26" s="37">
        <f t="shared" si="27"/>
        <v>189224.02989915336</v>
      </c>
      <c r="E26" s="18">
        <f t="shared" si="28"/>
        <v>0.12866777606179669</v>
      </c>
      <c r="F26" s="37">
        <f t="shared" si="29"/>
        <v>896144.70981224603</v>
      </c>
      <c r="G26" s="18">
        <f t="shared" si="30"/>
        <v>0.60935678678092542</v>
      </c>
      <c r="H26" s="38">
        <f t="shared" si="31"/>
        <v>148026.9874952143</v>
      </c>
      <c r="I26" s="18">
        <f t="shared" ref="I26:I28" si="49">IF(J26&lt;=0,0,H26/J26)</f>
        <v>0.1006547809402818</v>
      </c>
      <c r="J26" s="17">
        <f t="shared" ref="J26:J28" si="50">B26+D26+F26+H26</f>
        <v>1470640.4019004155</v>
      </c>
      <c r="K26" s="16">
        <f t="shared" si="44"/>
        <v>-8807.8638407036196</v>
      </c>
      <c r="L26" s="18">
        <f t="shared" si="33"/>
        <v>-5.9534787695272214E-3</v>
      </c>
      <c r="M26" s="19">
        <f t="shared" si="34"/>
        <v>26</v>
      </c>
      <c r="N26" s="50">
        <v>-1E-3</v>
      </c>
      <c r="O26" s="29">
        <f t="shared" si="10"/>
        <v>7.6680405887747632E-2</v>
      </c>
      <c r="P26" s="17">
        <f t="shared" si="0"/>
        <v>112769.30293264418</v>
      </c>
      <c r="Q26" s="20">
        <f t="shared" si="43"/>
        <v>-6.9475252907575304E-3</v>
      </c>
      <c r="R26" s="42">
        <f t="shared" si="35"/>
        <v>0.2</v>
      </c>
      <c r="S26" s="17">
        <f t="shared" si="11"/>
        <v>137412.97647825093</v>
      </c>
      <c r="T26" s="42">
        <f t="shared" si="45"/>
        <v>-0.2</v>
      </c>
      <c r="U26" s="17">
        <f t="shared" si="11"/>
        <v>91608.650985500615</v>
      </c>
      <c r="V26" s="42">
        <f t="shared" si="45"/>
        <v>-0.1</v>
      </c>
      <c r="W26" s="42">
        <f t="shared" si="13"/>
        <v>0.1</v>
      </c>
      <c r="X26" s="29">
        <f t="shared" si="14"/>
        <v>7.6680405887747632E-2</v>
      </c>
      <c r="Y26" s="21">
        <f t="shared" si="1"/>
        <v>2.9492463802979858E-3</v>
      </c>
      <c r="Z26" s="17">
        <f t="shared" si="2"/>
        <v>4337.2808820247756</v>
      </c>
      <c r="AA26" s="17">
        <f t="shared" si="46"/>
        <v>111952.2657235329</v>
      </c>
      <c r="AB26" s="44">
        <v>0.5</v>
      </c>
      <c r="AC26" s="17">
        <f t="shared" si="15"/>
        <v>2168.6404410123878</v>
      </c>
      <c r="AD26" s="17">
        <f t="shared" si="46"/>
        <v>10934.464500896105</v>
      </c>
      <c r="AE26" s="44">
        <v>0.5</v>
      </c>
      <c r="AF26" s="17">
        <f t="shared" si="16"/>
        <v>2168.6404410123878</v>
      </c>
      <c r="AG26" s="17">
        <f t="shared" si="46"/>
        <v>31823.388675499718</v>
      </c>
      <c r="AH26" s="44">
        <v>0</v>
      </c>
      <c r="AI26" s="17">
        <f t="shared" si="17"/>
        <v>0</v>
      </c>
      <c r="AJ26" s="17">
        <f t="shared" si="37"/>
        <v>69194.412547137093</v>
      </c>
      <c r="AK26" s="37">
        <f t="shared" si="38"/>
        <v>1153.8461538461538</v>
      </c>
      <c r="AL26" s="17">
        <f t="shared" si="46"/>
        <v>28846.153846153837</v>
      </c>
      <c r="AM26" s="37"/>
      <c r="AN26" s="23">
        <f t="shared" si="18"/>
        <v>2</v>
      </c>
      <c r="AO26" s="37"/>
      <c r="AP26" s="23">
        <f t="shared" si="19"/>
        <v>2</v>
      </c>
      <c r="AQ26" s="37"/>
      <c r="AR26" s="23">
        <f t="shared" si="20"/>
        <v>2</v>
      </c>
      <c r="AS26" s="17">
        <f t="shared" si="21"/>
        <v>5491.1270358709298</v>
      </c>
      <c r="AT26" s="17">
        <f t="shared" si="22"/>
        <v>140804.41956968678</v>
      </c>
      <c r="AU26" s="46">
        <f t="shared" si="39"/>
        <v>25900</v>
      </c>
      <c r="AV26" s="17">
        <f t="shared" si="3"/>
        <v>114904.41956968678</v>
      </c>
      <c r="AW26" s="17">
        <f t="shared" si="40"/>
        <v>17104.70098523908</v>
      </c>
      <c r="AX26" s="44">
        <f t="shared" si="41"/>
        <v>0.12</v>
      </c>
      <c r="AY26" s="22">
        <f t="shared" si="4"/>
        <v>0.22</v>
      </c>
      <c r="AZ26" s="12">
        <f t="shared" si="23"/>
        <v>0.24</v>
      </c>
    </row>
    <row r="27" spans="1:52" ht="18.75" thickBot="1" x14ac:dyDescent="0.4">
      <c r="A27" s="5">
        <f t="shared" si="24"/>
        <v>44912</v>
      </c>
      <c r="B27" s="37">
        <f t="shared" si="25"/>
        <v>237829.5039731533</v>
      </c>
      <c r="C27" s="18">
        <f t="shared" si="26"/>
        <v>0.1626846335899455</v>
      </c>
      <c r="D27" s="37">
        <f t="shared" si="27"/>
        <v>187972.24016289742</v>
      </c>
      <c r="E27" s="18">
        <f t="shared" si="28"/>
        <v>0.12858032542267828</v>
      </c>
      <c r="F27" s="37">
        <f t="shared" si="29"/>
        <v>885907.77978499059</v>
      </c>
      <c r="G27" s="18">
        <f t="shared" si="30"/>
        <v>0.60599538804517838</v>
      </c>
      <c r="H27" s="38">
        <f t="shared" si="31"/>
        <v>150195.62793622669</v>
      </c>
      <c r="I27" s="18">
        <f t="shared" si="49"/>
        <v>0.10273965294219781</v>
      </c>
      <c r="J27" s="17">
        <f t="shared" si="50"/>
        <v>1461905.1518572681</v>
      </c>
      <c r="K27" s="16">
        <f t="shared" si="44"/>
        <v>-8735.2500431474764</v>
      </c>
      <c r="L27" s="18">
        <f t="shared" si="33"/>
        <v>-5.9397593265216059E-3</v>
      </c>
      <c r="M27" s="19">
        <f t="shared" si="34"/>
        <v>26</v>
      </c>
      <c r="N27" s="50">
        <v>-1E-3</v>
      </c>
      <c r="O27" s="29">
        <f t="shared" si="10"/>
        <v>7.6603725481859883E-2</v>
      </c>
      <c r="P27" s="17">
        <f t="shared" si="0"/>
        <v>111987.38093339084</v>
      </c>
      <c r="Q27" s="20">
        <f t="shared" si="43"/>
        <v>-6.9338195671952126E-3</v>
      </c>
      <c r="R27" s="42">
        <f t="shared" si="35"/>
        <v>0.2</v>
      </c>
      <c r="S27" s="17">
        <f t="shared" si="11"/>
        <v>137412.97647825093</v>
      </c>
      <c r="T27" s="42">
        <f t="shared" si="45"/>
        <v>-0.2</v>
      </c>
      <c r="U27" s="17">
        <f t="shared" si="11"/>
        <v>91608.650985500615</v>
      </c>
      <c r="V27" s="42">
        <f t="shared" si="45"/>
        <v>-0.1</v>
      </c>
      <c r="W27" s="42">
        <f t="shared" si="13"/>
        <v>0.1</v>
      </c>
      <c r="X27" s="29">
        <f t="shared" si="14"/>
        <v>7.6603725481859883E-2</v>
      </c>
      <c r="Y27" s="21">
        <f t="shared" si="1"/>
        <v>2.9462971339176878E-3</v>
      </c>
      <c r="Z27" s="17">
        <f t="shared" si="2"/>
        <v>4307.2069589765706</v>
      </c>
      <c r="AA27" s="17">
        <f t="shared" si="46"/>
        <v>116259.47268250947</v>
      </c>
      <c r="AB27" s="44">
        <v>0.5</v>
      </c>
      <c r="AC27" s="17">
        <f t="shared" si="15"/>
        <v>2153.6034794882853</v>
      </c>
      <c r="AD27" s="17">
        <f t="shared" si="46"/>
        <v>13088.06798038439</v>
      </c>
      <c r="AE27" s="44">
        <v>0.5</v>
      </c>
      <c r="AF27" s="17">
        <f t="shared" si="16"/>
        <v>2153.6034794882853</v>
      </c>
      <c r="AG27" s="17">
        <f t="shared" si="46"/>
        <v>33976.992154988002</v>
      </c>
      <c r="AH27" s="44">
        <v>0</v>
      </c>
      <c r="AI27" s="17">
        <f t="shared" si="17"/>
        <v>0</v>
      </c>
      <c r="AJ27" s="17">
        <f t="shared" si="37"/>
        <v>69194.412547137093</v>
      </c>
      <c r="AK27" s="37">
        <f t="shared" si="38"/>
        <v>1153.8461538461538</v>
      </c>
      <c r="AL27" s="17">
        <f t="shared" si="46"/>
        <v>29999.999999999989</v>
      </c>
      <c r="AM27" s="37"/>
      <c r="AN27" s="23">
        <f t="shared" si="18"/>
        <v>2</v>
      </c>
      <c r="AO27" s="37"/>
      <c r="AP27" s="23">
        <f t="shared" si="19"/>
        <v>2</v>
      </c>
      <c r="AQ27" s="37"/>
      <c r="AR27" s="23">
        <f t="shared" si="20"/>
        <v>2</v>
      </c>
      <c r="AS27" s="17">
        <f t="shared" si="21"/>
        <v>5461.0531128227249</v>
      </c>
      <c r="AT27" s="17">
        <f t="shared" si="22"/>
        <v>146265.47268250951</v>
      </c>
      <c r="AU27" s="46">
        <f t="shared" si="39"/>
        <v>25900</v>
      </c>
      <c r="AV27" s="17">
        <f t="shared" si="3"/>
        <v>120365.47268250951</v>
      </c>
      <c r="AW27" s="17">
        <f t="shared" si="40"/>
        <v>18306.13267006008</v>
      </c>
      <c r="AX27" s="44">
        <f t="shared" si="41"/>
        <v>0.12</v>
      </c>
      <c r="AY27" s="22">
        <f t="shared" si="4"/>
        <v>0.22</v>
      </c>
      <c r="AZ27" s="12">
        <f t="shared" si="23"/>
        <v>0.24</v>
      </c>
    </row>
    <row r="28" spans="1:52" ht="18.75" thickBot="1" x14ac:dyDescent="0.4">
      <c r="A28" s="5">
        <f t="shared" si="24"/>
        <v>44926</v>
      </c>
      <c r="B28" s="37">
        <f t="shared" si="25"/>
        <v>238395.5268956472</v>
      </c>
      <c r="C28" s="18">
        <f t="shared" si="26"/>
        <v>0.16404393585685356</v>
      </c>
      <c r="D28" s="37">
        <f t="shared" si="27"/>
        <v>186728.73149720443</v>
      </c>
      <c r="E28" s="18">
        <f t="shared" si="28"/>
        <v>0.12849115271264064</v>
      </c>
      <c r="F28" s="37">
        <f t="shared" si="29"/>
        <v>875768.44595962658</v>
      </c>
      <c r="G28" s="18">
        <f t="shared" si="30"/>
        <v>0.60263086579365022</v>
      </c>
      <c r="H28" s="38">
        <f t="shared" si="31"/>
        <v>152349.23141571498</v>
      </c>
      <c r="I28" s="18">
        <f t="shared" si="49"/>
        <v>0.10483404563685549</v>
      </c>
      <c r="J28" s="17">
        <f t="shared" si="50"/>
        <v>1453241.9357681933</v>
      </c>
      <c r="K28" s="16">
        <f t="shared" si="44"/>
        <v>-8663.2160890747327</v>
      </c>
      <c r="L28" s="18">
        <f t="shared" si="33"/>
        <v>-5.925976851554703E-3</v>
      </c>
      <c r="M28" s="19">
        <f t="shared" si="34"/>
        <v>26</v>
      </c>
      <c r="N28" s="50">
        <v>-1E-3</v>
      </c>
      <c r="O28" s="29">
        <f t="shared" si="10"/>
        <v>7.6527121756378019E-2</v>
      </c>
      <c r="P28" s="17">
        <f t="shared" si="0"/>
        <v>111212.42256000702</v>
      </c>
      <c r="Q28" s="20">
        <f t="shared" si="43"/>
        <v>-6.9200508747031186E-3</v>
      </c>
      <c r="R28" s="42">
        <f t="shared" si="35"/>
        <v>0.2</v>
      </c>
      <c r="S28" s="17">
        <f t="shared" si="11"/>
        <v>137412.97647825093</v>
      </c>
      <c r="T28" s="42">
        <f t="shared" si="45"/>
        <v>-0.2</v>
      </c>
      <c r="U28" s="17">
        <f t="shared" si="11"/>
        <v>91608.650985500615</v>
      </c>
      <c r="V28" s="42">
        <f t="shared" si="45"/>
        <v>-0.1</v>
      </c>
      <c r="W28" s="42">
        <f t="shared" si="13"/>
        <v>0.1</v>
      </c>
      <c r="X28" s="29">
        <f t="shared" si="14"/>
        <v>7.6527121756378019E-2</v>
      </c>
      <c r="Y28" s="21">
        <f t="shared" si="1"/>
        <v>2.9433508367837698E-3</v>
      </c>
      <c r="Z28" s="17">
        <f t="shared" si="2"/>
        <v>4277.4008676925778</v>
      </c>
      <c r="AA28" s="17">
        <f t="shared" si="46"/>
        <v>120536.87355020204</v>
      </c>
      <c r="AB28" s="44">
        <v>0.5</v>
      </c>
      <c r="AC28" s="17">
        <f t="shared" si="15"/>
        <v>2138.7004338462889</v>
      </c>
      <c r="AD28" s="17">
        <f t="shared" si="46"/>
        <v>15226.768414230679</v>
      </c>
      <c r="AE28" s="44">
        <v>0.5</v>
      </c>
      <c r="AF28" s="17">
        <f t="shared" si="16"/>
        <v>2138.7004338462889</v>
      </c>
      <c r="AG28" s="17">
        <f t="shared" si="46"/>
        <v>36115.692588834288</v>
      </c>
      <c r="AH28" s="44">
        <v>0</v>
      </c>
      <c r="AI28" s="17">
        <f t="shared" si="17"/>
        <v>0</v>
      </c>
      <c r="AJ28" s="17">
        <f t="shared" si="37"/>
        <v>69194.412547137093</v>
      </c>
      <c r="AK28" s="47">
        <f t="shared" si="38"/>
        <v>1153.8461538461538</v>
      </c>
      <c r="AL28" s="17">
        <f t="shared" si="46"/>
        <v>31153.846153846142</v>
      </c>
      <c r="AM28" s="47"/>
      <c r="AN28" s="23">
        <f t="shared" si="18"/>
        <v>2</v>
      </c>
      <c r="AO28" s="47"/>
      <c r="AP28" s="23">
        <f t="shared" si="19"/>
        <v>2</v>
      </c>
      <c r="AQ28" s="47"/>
      <c r="AR28" s="23">
        <f t="shared" ref="AR28" si="51">AR27+AQ28</f>
        <v>2</v>
      </c>
      <c r="AS28" s="17">
        <f t="shared" si="21"/>
        <v>5431.2470215387311</v>
      </c>
      <c r="AT28" s="17">
        <f t="shared" ref="AT28" si="52">AT27+Z28+AK28+AM28+AO28+AQ28</f>
        <v>151696.71970404824</v>
      </c>
      <c r="AU28" s="46">
        <f t="shared" si="39"/>
        <v>25900</v>
      </c>
      <c r="AV28" s="17">
        <f t="shared" si="3"/>
        <v>125796.71970404824</v>
      </c>
      <c r="AW28" s="17">
        <f t="shared" si="40"/>
        <v>19501.007014798601</v>
      </c>
      <c r="AX28" s="44">
        <f t="shared" si="41"/>
        <v>0.12</v>
      </c>
      <c r="AY28" s="22">
        <f t="shared" ref="AY28" si="53">IF(AV28&lt;$BC$2,0,IF(AV28&lt;$BC$3,$BB$2,IF(AV28&lt;$BC$4,$BB$3,IF(AV28&lt;$BC$5,$BB$4,IF(AV28&lt;$BC$6,$BB$5,IF(AV28&lt;$BC$7,$BB$6,IF(AV28&lt;$BC$8,$BB$7,$BB$8)))))))</f>
        <v>0.22</v>
      </c>
      <c r="AZ28" s="12">
        <f t="shared" ref="AZ28" si="54">IF(AV28&lt;$BD$2,0,IF(AV28&lt;$BD$3,$BB$2,IF(AV28&lt;$BD$4,$BB$3,IF(AV28&lt;$BD$5,$BB$4,IF(AV28&lt;$BD$6,$BB$5,IF(AV28&lt;$BD$7,$BB$6,IF(AV28&lt;$BD$8,$BB$7,$BB$8)))))))</f>
        <v>0.24</v>
      </c>
    </row>
    <row r="29" spans="1:52" ht="18.75" thickBot="1" x14ac:dyDescent="0.4">
      <c r="A29" s="51" t="s">
        <v>13</v>
      </c>
      <c r="Y29" s="52">
        <f>SUM(Y2:Y28)</f>
        <v>7.6756411800896623E-2</v>
      </c>
      <c r="Z29" s="31">
        <f>SUM(Z2:Z28)</f>
        <v>120536.87355020204</v>
      </c>
      <c r="AC29" s="27">
        <f>SUM(AC2:AC28)</f>
        <v>15226.768414230679</v>
      </c>
      <c r="AF29" s="31">
        <f>SUM(AF2:AF28)</f>
        <v>36115.692588834288</v>
      </c>
      <c r="AI29" s="31">
        <f>SUM(AI2:AI28)</f>
        <v>69194.412547137093</v>
      </c>
      <c r="AK29" s="27">
        <f>SUM(AK2:AK28)</f>
        <v>31153.846153846142</v>
      </c>
      <c r="AM29" s="31">
        <f>SUM(AM2:AM28)</f>
        <v>2</v>
      </c>
      <c r="AO29" s="31">
        <f>SUM(AO2:AO28)</f>
        <v>2</v>
      </c>
      <c r="AQ29" s="31">
        <f>SUM(AQ2:AQ28)</f>
        <v>2</v>
      </c>
      <c r="AS29" s="27">
        <f>SUM(AS2:AS28)</f>
        <v>151696.71970404821</v>
      </c>
    </row>
    <row r="32" spans="1:52" x14ac:dyDescent="0.3">
      <c r="K32" s="28"/>
      <c r="AU32" s="58"/>
    </row>
    <row r="33" spans="47:47" x14ac:dyDescent="0.3">
      <c r="AU33" s="58"/>
    </row>
    <row r="34" spans="47:47" x14ac:dyDescent="0.3">
      <c r="AU34" s="58"/>
    </row>
  </sheetData>
  <conditionalFormatting sqref="AY2:AZ28">
    <cfRule type="cellIs" dxfId="5" priority="1" operator="greaterThan">
      <formula>$AX$2</formula>
    </cfRule>
    <cfRule type="cellIs" dxfId="4" priority="2" operator="greaterThan">
      <formula>"2$AS$2"</formula>
    </cfRule>
  </conditionalFormatting>
  <pageMargins left="0.75" right="0.75" top="0.75" bottom="0.5" header="0.5" footer="0.75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15073-539D-4187-B0D1-79D2694D507A}">
  <sheetPr>
    <tabColor rgb="FF7030A0"/>
  </sheetPr>
  <dimension ref="A1:BG83"/>
  <sheetViews>
    <sheetView tabSelected="1" workbookViewId="0"/>
  </sheetViews>
  <sheetFormatPr defaultColWidth="13.28515625" defaultRowHeight="16.5" x14ac:dyDescent="0.3"/>
  <cols>
    <col min="1" max="1" width="14" style="1" bestFit="1" customWidth="1"/>
    <col min="2" max="2" width="16.85546875" style="24" bestFit="1" customWidth="1"/>
    <col min="3" max="3" width="10.42578125" style="24" bestFit="1" customWidth="1"/>
    <col min="4" max="4" width="16.85546875" style="24" bestFit="1" customWidth="1"/>
    <col min="5" max="5" width="10.7109375" style="24" bestFit="1" customWidth="1"/>
    <col min="6" max="6" width="19.28515625" style="24" bestFit="1" customWidth="1"/>
    <col min="7" max="7" width="10.7109375" style="24" bestFit="1" customWidth="1"/>
    <col min="8" max="8" width="15.5703125" style="24" bestFit="1" customWidth="1"/>
    <col min="9" max="9" width="9.140625" style="24" bestFit="1" customWidth="1"/>
    <col min="10" max="10" width="19.28515625" style="24" bestFit="1" customWidth="1"/>
    <col min="11" max="11" width="16.85546875" style="24" bestFit="1" customWidth="1"/>
    <col min="12" max="12" width="9.140625" style="24" bestFit="1" customWidth="1"/>
    <col min="13" max="13" width="8.5703125" style="24" bestFit="1" customWidth="1"/>
    <col min="14" max="14" width="7.85546875" style="24" bestFit="1" customWidth="1"/>
    <col min="15" max="15" width="13" style="24" bestFit="1" customWidth="1"/>
    <col min="16" max="16" width="16.85546875" style="24" bestFit="1" customWidth="1"/>
    <col min="17" max="17" width="13" style="24" bestFit="1" customWidth="1"/>
    <col min="18" max="18" width="9.140625" style="24" bestFit="1" customWidth="1"/>
    <col min="19" max="19" width="16.85546875" style="24" bestFit="1" customWidth="1"/>
    <col min="20" max="20" width="10.42578125" style="24" bestFit="1" customWidth="1"/>
    <col min="21" max="21" width="15.5703125" style="24" bestFit="1" customWidth="1"/>
    <col min="22" max="22" width="11" style="24" bestFit="1" customWidth="1"/>
    <col min="23" max="23" width="10.42578125" style="24" bestFit="1" customWidth="1"/>
    <col min="24" max="25" width="13.140625" style="24" bestFit="1" customWidth="1"/>
    <col min="26" max="27" width="15.5703125" style="24" bestFit="1" customWidth="1"/>
    <col min="28" max="28" width="10.5703125" style="24" bestFit="1" customWidth="1"/>
    <col min="29" max="29" width="15.28515625" style="24" customWidth="1"/>
    <col min="30" max="30" width="16.85546875" style="24" bestFit="1" customWidth="1"/>
    <col min="31" max="33" width="9.85546875" style="24" bestFit="1" customWidth="1"/>
    <col min="34" max="35" width="11.85546875" style="24" bestFit="1" customWidth="1"/>
    <col min="36" max="37" width="8.7109375" style="24" bestFit="1" customWidth="1"/>
    <col min="38" max="39" width="16.85546875" style="24" bestFit="1" customWidth="1"/>
    <col min="40" max="40" width="12.5703125" style="24" bestFit="1" customWidth="1"/>
    <col min="41" max="42" width="15.5703125" style="24" bestFit="1" customWidth="1"/>
    <col min="43" max="43" width="7.7109375" style="24" bestFit="1" customWidth="1"/>
    <col min="44" max="45" width="10.5703125" style="24" bestFit="1" customWidth="1"/>
    <col min="46" max="46" width="13" style="24" bestFit="1" customWidth="1"/>
    <col min="47" max="50" width="15.5703125" style="24" bestFit="1" customWidth="1"/>
    <col min="51" max="51" width="14.28515625" style="24" bestFit="1" customWidth="1"/>
    <col min="52" max="52" width="13" style="24" bestFit="1" customWidth="1"/>
    <col min="53" max="53" width="10.7109375" style="24" bestFit="1" customWidth="1"/>
    <col min="54" max="54" width="8.85546875" style="24" bestFit="1" customWidth="1"/>
    <col min="55" max="55" width="13.28515625" style="24"/>
    <col min="56" max="56" width="10.85546875" style="24" bestFit="1" customWidth="1"/>
    <col min="57" max="58" width="13.140625" style="1" bestFit="1" customWidth="1"/>
    <col min="59" max="16384" width="13.28515625" style="1"/>
  </cols>
  <sheetData>
    <row r="1" spans="1:59" ht="54.75" thickBot="1" x14ac:dyDescent="0.35">
      <c r="A1" s="3" t="s">
        <v>5</v>
      </c>
      <c r="B1" s="3" t="s">
        <v>1</v>
      </c>
      <c r="C1" s="3" t="s">
        <v>1</v>
      </c>
      <c r="D1" s="3" t="s">
        <v>4</v>
      </c>
      <c r="E1" s="3" t="s">
        <v>4</v>
      </c>
      <c r="F1" s="3" t="s">
        <v>3</v>
      </c>
      <c r="G1" s="3" t="s">
        <v>3</v>
      </c>
      <c r="H1" s="3" t="s">
        <v>0</v>
      </c>
      <c r="I1" s="3" t="s">
        <v>0</v>
      </c>
      <c r="J1" s="3" t="s">
        <v>9</v>
      </c>
      <c r="K1" s="3" t="s">
        <v>11</v>
      </c>
      <c r="L1" s="3" t="s">
        <v>11</v>
      </c>
      <c r="M1" s="3" t="s">
        <v>31</v>
      </c>
      <c r="N1" s="3" t="s">
        <v>24</v>
      </c>
      <c r="O1" s="39" t="s">
        <v>15</v>
      </c>
      <c r="P1" s="3" t="s">
        <v>15</v>
      </c>
      <c r="Q1" s="3" t="s">
        <v>28</v>
      </c>
      <c r="R1" s="3" t="s">
        <v>16</v>
      </c>
      <c r="S1" s="3" t="s">
        <v>16</v>
      </c>
      <c r="T1" s="3" t="s">
        <v>17</v>
      </c>
      <c r="U1" s="3" t="s">
        <v>19</v>
      </c>
      <c r="V1" s="3" t="s">
        <v>30</v>
      </c>
      <c r="W1" s="3" t="s">
        <v>29</v>
      </c>
      <c r="X1" s="3" t="s">
        <v>18</v>
      </c>
      <c r="Y1" s="3" t="s">
        <v>32</v>
      </c>
      <c r="Z1" s="3" t="s">
        <v>10</v>
      </c>
      <c r="AA1" s="3" t="s">
        <v>27</v>
      </c>
      <c r="AB1" s="3" t="s">
        <v>80</v>
      </c>
      <c r="AC1" s="3" t="s">
        <v>2</v>
      </c>
      <c r="AD1" s="3" t="s">
        <v>25</v>
      </c>
      <c r="AE1" s="3" t="s">
        <v>8</v>
      </c>
      <c r="AF1" s="3" t="s">
        <v>35</v>
      </c>
      <c r="AG1" s="3" t="s">
        <v>81</v>
      </c>
      <c r="AH1" s="3" t="s">
        <v>12</v>
      </c>
      <c r="AI1" s="3" t="s">
        <v>36</v>
      </c>
      <c r="AJ1" s="3" t="s">
        <v>37</v>
      </c>
      <c r="AK1" s="3" t="s">
        <v>37</v>
      </c>
      <c r="AL1" s="3" t="s">
        <v>64</v>
      </c>
      <c r="AM1" s="3" t="s">
        <v>33</v>
      </c>
      <c r="AN1" s="3" t="s">
        <v>82</v>
      </c>
      <c r="AO1" s="3" t="s">
        <v>79</v>
      </c>
      <c r="AP1" s="3" t="s">
        <v>78</v>
      </c>
      <c r="AQ1" s="3" t="s">
        <v>7</v>
      </c>
      <c r="AR1" s="3" t="s">
        <v>7</v>
      </c>
      <c r="AS1" s="3" t="s">
        <v>26</v>
      </c>
      <c r="AT1" s="3" t="s">
        <v>39</v>
      </c>
      <c r="AU1" s="3" t="s">
        <v>39</v>
      </c>
      <c r="AV1" s="3" t="s">
        <v>40</v>
      </c>
      <c r="AW1" s="3" t="s">
        <v>38</v>
      </c>
      <c r="AX1" s="3" t="s">
        <v>34</v>
      </c>
      <c r="AY1" s="3" t="s">
        <v>63</v>
      </c>
      <c r="AZ1" s="3" t="s">
        <v>6</v>
      </c>
      <c r="BA1" s="3" t="s">
        <v>22</v>
      </c>
      <c r="BB1" s="3" t="s">
        <v>23</v>
      </c>
      <c r="BC1" s="6"/>
      <c r="BD1" s="3" t="s">
        <v>14</v>
      </c>
      <c r="BE1" s="3" t="s">
        <v>20</v>
      </c>
      <c r="BF1" s="3" t="s">
        <v>21</v>
      </c>
      <c r="BG1" s="2"/>
    </row>
    <row r="2" spans="1:59" ht="18.75" thickBot="1" x14ac:dyDescent="0.4">
      <c r="A2" s="34">
        <v>44927</v>
      </c>
      <c r="B2" s="35">
        <v>124040.09159779383</v>
      </c>
      <c r="C2" s="30">
        <v>0.12404009159779383</v>
      </c>
      <c r="D2" s="35">
        <v>103999.84674533174</v>
      </c>
      <c r="E2" s="30">
        <v>0.10399984674533175</v>
      </c>
      <c r="F2" s="35">
        <v>761685.80319867679</v>
      </c>
      <c r="G2" s="30">
        <v>0.76168580319867674</v>
      </c>
      <c r="H2" s="35">
        <v>10274.25845819757</v>
      </c>
      <c r="I2" s="30">
        <v>1.027425845819757E-2</v>
      </c>
      <c r="J2" s="9">
        <v>1000000</v>
      </c>
      <c r="K2" s="7">
        <v>0</v>
      </c>
      <c r="L2" s="8">
        <v>0</v>
      </c>
      <c r="M2" s="48">
        <v>26</v>
      </c>
      <c r="N2" s="49">
        <v>-1E-3</v>
      </c>
      <c r="O2" s="40">
        <v>0.05</v>
      </c>
      <c r="P2" s="9">
        <v>50000</v>
      </c>
      <c r="Q2" s="8">
        <v>0</v>
      </c>
      <c r="R2" s="41">
        <v>0.2</v>
      </c>
      <c r="S2" s="9">
        <v>60000</v>
      </c>
      <c r="T2" s="41">
        <v>-0.2</v>
      </c>
      <c r="U2" s="9">
        <v>40000</v>
      </c>
      <c r="V2" s="41">
        <v>0.1</v>
      </c>
      <c r="W2" s="41">
        <v>-0.1</v>
      </c>
      <c r="X2" s="30">
        <v>0.05</v>
      </c>
      <c r="Y2" s="11">
        <v>1.9230769230769232E-3</v>
      </c>
      <c r="Z2" s="9">
        <v>1923.0769230769231</v>
      </c>
      <c r="AA2" s="9">
        <v>1923.0769230769231</v>
      </c>
      <c r="AB2" s="12">
        <v>1</v>
      </c>
      <c r="AC2" s="36">
        <f>AC33/M2*$J$34</f>
        <v>2119.6659609717376</v>
      </c>
      <c r="AD2" s="9">
        <v>1349.5148398916117</v>
      </c>
      <c r="AE2" s="36"/>
      <c r="AF2" s="13">
        <v>0</v>
      </c>
      <c r="AG2" s="12">
        <v>0.85</v>
      </c>
      <c r="AH2" s="36"/>
      <c r="AI2" s="13">
        <v>0</v>
      </c>
      <c r="AJ2" s="36"/>
      <c r="AK2" s="13">
        <v>0</v>
      </c>
      <c r="AL2" s="9">
        <v>3272.5917629685346</v>
      </c>
      <c r="AM2" s="9">
        <v>3272.5917629685346</v>
      </c>
      <c r="AN2" s="9">
        <v>0</v>
      </c>
      <c r="AO2" s="9">
        <v>0</v>
      </c>
      <c r="AP2" s="9">
        <v>0</v>
      </c>
      <c r="AQ2" s="43">
        <v>0</v>
      </c>
      <c r="AR2" s="9">
        <v>0</v>
      </c>
      <c r="AS2" s="9">
        <v>0</v>
      </c>
      <c r="AT2" s="43">
        <v>1</v>
      </c>
      <c r="AU2" s="9">
        <v>3272.5917629685346</v>
      </c>
      <c r="AV2" s="9">
        <v>3272.5917629685346</v>
      </c>
      <c r="AW2" s="53">
        <v>546.87555529709334</v>
      </c>
      <c r="AX2" s="9">
        <v>-546.87555529709334</v>
      </c>
      <c r="AY2" s="9">
        <v>0</v>
      </c>
      <c r="AZ2" s="43">
        <v>0.12</v>
      </c>
      <c r="BA2" s="12">
        <v>0</v>
      </c>
      <c r="BB2" s="12">
        <v>0</v>
      </c>
      <c r="BC2" s="14"/>
      <c r="BD2" s="12">
        <v>0.1</v>
      </c>
      <c r="BE2" s="15">
        <v>0</v>
      </c>
      <c r="BF2" s="15">
        <v>0</v>
      </c>
      <c r="BG2" s="4"/>
    </row>
    <row r="3" spans="1:59" ht="18.75" thickBot="1" x14ac:dyDescent="0.4">
      <c r="A3" s="5">
        <v>44941</v>
      </c>
      <c r="B3" s="37">
        <v>130919.88953570237</v>
      </c>
      <c r="C3" s="29">
        <v>0.12094252746653802</v>
      </c>
      <c r="D3" s="37">
        <v>146866.83956170912</v>
      </c>
      <c r="E3" s="29">
        <v>0.13567416563372328</v>
      </c>
      <c r="F3" s="37">
        <v>801540.17348401761</v>
      </c>
      <c r="G3" s="29">
        <v>0.74045505836367553</v>
      </c>
      <c r="H3" s="38">
        <v>3169.8194415568464</v>
      </c>
      <c r="I3" s="29">
        <v>2.9282485360630382E-3</v>
      </c>
      <c r="J3" s="17">
        <v>1082496.722022986</v>
      </c>
      <c r="K3" s="16">
        <v>82496.72202298604</v>
      </c>
      <c r="L3" s="20">
        <v>8.2496722022986038E-2</v>
      </c>
      <c r="M3" s="19">
        <v>26</v>
      </c>
      <c r="N3" s="50">
        <v>-3.0000000000000001E-3</v>
      </c>
      <c r="O3" s="29">
        <v>4.9850000000000005E-2</v>
      </c>
      <c r="P3" s="17">
        <v>53962.461592845859</v>
      </c>
      <c r="Q3" s="20">
        <v>7.9249231856917179E-2</v>
      </c>
      <c r="R3" s="42">
        <v>0.2</v>
      </c>
      <c r="S3" s="17">
        <v>60000</v>
      </c>
      <c r="T3" s="42">
        <v>-0.2</v>
      </c>
      <c r="U3" s="17">
        <v>40000</v>
      </c>
      <c r="V3" s="42">
        <v>0.1</v>
      </c>
      <c r="W3" s="42">
        <v>-0.1</v>
      </c>
      <c r="X3" s="29">
        <v>4.9850000000000005E-2</v>
      </c>
      <c r="Y3" s="21">
        <v>1.9173076923076925E-3</v>
      </c>
      <c r="Z3" s="17">
        <v>2075.4792920325331</v>
      </c>
      <c r="AA3" s="17">
        <v>3998.5562151094564</v>
      </c>
      <c r="AB3" s="12">
        <v>1</v>
      </c>
      <c r="AC3" s="16">
        <f>AC2</f>
        <v>2119.6659609717376</v>
      </c>
      <c r="AD3" s="17">
        <v>2699.0296797832234</v>
      </c>
      <c r="AE3" s="37"/>
      <c r="AF3" s="23">
        <v>0</v>
      </c>
      <c r="AG3" s="12">
        <v>0.85</v>
      </c>
      <c r="AH3" s="37"/>
      <c r="AI3" s="23">
        <v>0</v>
      </c>
      <c r="AJ3" s="37"/>
      <c r="AK3" s="23">
        <v>0</v>
      </c>
      <c r="AL3" s="17">
        <v>3424.9941319241448</v>
      </c>
      <c r="AM3" s="17">
        <v>6697.5858948926798</v>
      </c>
      <c r="AN3" s="17">
        <v>0</v>
      </c>
      <c r="AO3" s="17">
        <v>2410.1986341372753</v>
      </c>
      <c r="AP3" s="17">
        <v>2410.1986341372753</v>
      </c>
      <c r="AQ3" s="44">
        <v>0.01</v>
      </c>
      <c r="AR3" s="17">
        <v>10.147954977868695</v>
      </c>
      <c r="AS3" s="17">
        <v>10.147954977868695</v>
      </c>
      <c r="AT3" s="44">
        <v>0.99</v>
      </c>
      <c r="AU3" s="17">
        <v>1004.6475428090007</v>
      </c>
      <c r="AV3" s="17">
        <v>4277.2393057775353</v>
      </c>
      <c r="AW3" s="53">
        <v>546.87555529709334</v>
      </c>
      <c r="AX3" s="17">
        <v>1863.323078840182</v>
      </c>
      <c r="AY3" s="17">
        <v>241.01986341372753</v>
      </c>
      <c r="AZ3" s="22">
        <v>0.12</v>
      </c>
      <c r="BA3" s="22">
        <v>0.1</v>
      </c>
      <c r="BB3" s="22">
        <v>0.1</v>
      </c>
      <c r="BD3" s="22">
        <v>0.12</v>
      </c>
      <c r="BE3" s="25">
        <v>22000</v>
      </c>
      <c r="BF3" s="25">
        <v>11000</v>
      </c>
    </row>
    <row r="4" spans="1:59" ht="18.75" thickBot="1" x14ac:dyDescent="0.4">
      <c r="A4" s="5">
        <v>44955</v>
      </c>
      <c r="B4" s="37">
        <v>133397.28081478181</v>
      </c>
      <c r="C4" s="29">
        <v>0.12102769751160194</v>
      </c>
      <c r="D4" s="37">
        <v>149519.83001503046</v>
      </c>
      <c r="E4" s="29">
        <v>0.13565524460855441</v>
      </c>
      <c r="F4" s="37">
        <v>816117.63577016932</v>
      </c>
      <c r="G4" s="29">
        <v>0.74044116756037148</v>
      </c>
      <c r="H4" s="38">
        <v>3169.8194415568464</v>
      </c>
      <c r="I4" s="29">
        <v>2.8758903194721352E-3</v>
      </c>
      <c r="J4" s="17">
        <v>1102204.5660415385</v>
      </c>
      <c r="K4" s="16">
        <v>19707.844018552452</v>
      </c>
      <c r="L4" s="20">
        <v>1.8205915655543178E-2</v>
      </c>
      <c r="M4" s="19">
        <v>26</v>
      </c>
      <c r="N4" s="50">
        <v>-3.0000000000000001E-3</v>
      </c>
      <c r="O4" s="29">
        <v>4.9700450000000007E-2</v>
      </c>
      <c r="P4" s="17">
        <v>54780.062924319187</v>
      </c>
      <c r="Q4" s="20">
        <v>1.5151297908576555E-2</v>
      </c>
      <c r="R4" s="42">
        <v>0.2</v>
      </c>
      <c r="S4" s="17">
        <v>60000</v>
      </c>
      <c r="T4" s="42">
        <v>-0.2</v>
      </c>
      <c r="U4" s="17">
        <v>40000</v>
      </c>
      <c r="V4" s="42">
        <v>0.1</v>
      </c>
      <c r="W4" s="42">
        <v>-0.1</v>
      </c>
      <c r="X4" s="29">
        <v>4.9700450000000007E-2</v>
      </c>
      <c r="Y4" s="21">
        <v>1.9115557692307695E-3</v>
      </c>
      <c r="Z4" s="17">
        <v>2106.9254970891998</v>
      </c>
      <c r="AA4" s="17">
        <v>6105.4817121986562</v>
      </c>
      <c r="AB4" s="12">
        <v>1</v>
      </c>
      <c r="AC4" s="16">
        <f t="shared" ref="AC4:AC28" si="0">AC3</f>
        <v>2119.6659609717376</v>
      </c>
      <c r="AD4" s="17">
        <v>4048.5445196748351</v>
      </c>
      <c r="AE4" s="37"/>
      <c r="AF4" s="23">
        <v>0</v>
      </c>
      <c r="AG4" s="12">
        <v>0.85</v>
      </c>
      <c r="AH4" s="37"/>
      <c r="AI4" s="23">
        <v>0</v>
      </c>
      <c r="AJ4" s="37"/>
      <c r="AK4" s="23">
        <v>0</v>
      </c>
      <c r="AL4" s="17">
        <v>3456.4403369808115</v>
      </c>
      <c r="AM4" s="17">
        <v>10154.026231873491</v>
      </c>
      <c r="AN4" s="17">
        <v>0</v>
      </c>
      <c r="AO4" s="17">
        <v>2414.6233904352239</v>
      </c>
      <c r="AP4" s="17">
        <v>4824.8220245724988</v>
      </c>
      <c r="AQ4" s="44">
        <v>0</v>
      </c>
      <c r="AR4" s="17">
        <v>0</v>
      </c>
      <c r="AS4" s="17">
        <v>10.147954977868695</v>
      </c>
      <c r="AT4" s="44">
        <v>1</v>
      </c>
      <c r="AU4" s="17">
        <v>1041.8169465455876</v>
      </c>
      <c r="AV4" s="17">
        <v>5319.0562523231229</v>
      </c>
      <c r="AW4" s="53">
        <v>546.87555529709334</v>
      </c>
      <c r="AX4" s="17">
        <v>4277.9464692754054</v>
      </c>
      <c r="AY4" s="17">
        <v>482.48220245724997</v>
      </c>
      <c r="AZ4" s="22">
        <v>0.12</v>
      </c>
      <c r="BA4" s="22">
        <v>0.1</v>
      </c>
      <c r="BB4" s="22">
        <v>0.1</v>
      </c>
      <c r="BD4" s="22">
        <v>0.22</v>
      </c>
      <c r="BE4" s="25">
        <v>89450</v>
      </c>
      <c r="BF4" s="25">
        <v>44725</v>
      </c>
    </row>
    <row r="5" spans="1:59" ht="18.75" thickBot="1" x14ac:dyDescent="0.4">
      <c r="A5" s="5">
        <v>44969</v>
      </c>
      <c r="B5" s="37">
        <v>132280.71768869579</v>
      </c>
      <c r="C5" s="29">
        <v>0.12027363000120128</v>
      </c>
      <c r="D5" s="37">
        <v>151951.30546454477</v>
      </c>
      <c r="E5" s="29">
        <v>0.13815872344033969</v>
      </c>
      <c r="F5" s="37">
        <v>815499.19651404768</v>
      </c>
      <c r="G5" s="29">
        <v>0.74147653824068505</v>
      </c>
      <c r="H5" s="38">
        <v>100.20379082628828</v>
      </c>
      <c r="I5" s="29">
        <v>9.1108317774032398E-5</v>
      </c>
      <c r="J5" s="17">
        <v>1099831.4234581145</v>
      </c>
      <c r="K5" s="16">
        <v>-2373.1425834239926</v>
      </c>
      <c r="L5" s="20">
        <v>-2.1530872367430897E-3</v>
      </c>
      <c r="M5" s="19">
        <v>26</v>
      </c>
      <c r="N5" s="50">
        <v>8.0000000000000002E-3</v>
      </c>
      <c r="O5" s="29">
        <v>5.0098053600000005E-2</v>
      </c>
      <c r="P5" s="17">
        <v>55099.413603368921</v>
      </c>
      <c r="Q5" s="20">
        <v>5.8296880653629325E-3</v>
      </c>
      <c r="R5" s="42">
        <v>0.2</v>
      </c>
      <c r="S5" s="17">
        <v>60000</v>
      </c>
      <c r="T5" s="42">
        <v>-0.2</v>
      </c>
      <c r="U5" s="17">
        <v>40000</v>
      </c>
      <c r="V5" s="42">
        <v>0.1</v>
      </c>
      <c r="W5" s="42">
        <v>-0.1</v>
      </c>
      <c r="X5" s="29">
        <v>5.0098053600000005E-2</v>
      </c>
      <c r="Y5" s="21">
        <v>1.9268482153846156E-3</v>
      </c>
      <c r="Z5" s="17">
        <v>2119.2082155141893</v>
      </c>
      <c r="AA5" s="17">
        <v>8224.689927712845</v>
      </c>
      <c r="AB5" s="12">
        <v>1</v>
      </c>
      <c r="AC5" s="16">
        <f t="shared" si="0"/>
        <v>2119.6659609717376</v>
      </c>
      <c r="AD5" s="17">
        <v>5398.0593595664468</v>
      </c>
      <c r="AE5" s="37"/>
      <c r="AF5" s="23">
        <v>0</v>
      </c>
      <c r="AG5" s="12">
        <v>0.85</v>
      </c>
      <c r="AH5" s="37"/>
      <c r="AI5" s="23">
        <v>0</v>
      </c>
      <c r="AJ5" s="37"/>
      <c r="AK5" s="23">
        <v>0</v>
      </c>
      <c r="AL5" s="17">
        <v>3468.723055405801</v>
      </c>
      <c r="AM5" s="17">
        <v>13622.749287279292</v>
      </c>
      <c r="AN5" s="17">
        <v>0</v>
      </c>
      <c r="AO5" s="17">
        <v>3710.9845894310465</v>
      </c>
      <c r="AP5" s="17">
        <v>8535.8066140035444</v>
      </c>
      <c r="AQ5" s="44">
        <v>0</v>
      </c>
      <c r="AR5" s="17">
        <v>0</v>
      </c>
      <c r="AS5" s="17">
        <v>10.147954977868695</v>
      </c>
      <c r="AT5" s="44">
        <v>1</v>
      </c>
      <c r="AU5" s="17">
        <v>-242.26153402524551</v>
      </c>
      <c r="AV5" s="17">
        <v>5076.7947182978769</v>
      </c>
      <c r="AW5" s="53">
        <v>546.87555529709334</v>
      </c>
      <c r="AX5" s="17">
        <v>7988.931058706451</v>
      </c>
      <c r="AY5" s="17">
        <v>853.58066140035464</v>
      </c>
      <c r="AZ5" s="22">
        <v>0.12</v>
      </c>
      <c r="BA5" s="22">
        <v>0.1</v>
      </c>
      <c r="BB5" s="22">
        <v>0.1</v>
      </c>
      <c r="BD5" s="22">
        <v>0.24</v>
      </c>
      <c r="BE5" s="25">
        <v>190750</v>
      </c>
      <c r="BF5" s="25">
        <v>95375</v>
      </c>
    </row>
    <row r="6" spans="1:59" ht="18.75" thickBot="1" x14ac:dyDescent="0.4">
      <c r="A6" s="5">
        <v>44983</v>
      </c>
      <c r="B6" s="37">
        <v>128657.07840456163</v>
      </c>
      <c r="C6" s="29">
        <v>0.11987895205923811</v>
      </c>
      <c r="D6" s="37">
        <v>148141.93934471178</v>
      </c>
      <c r="E6" s="29">
        <v>0.1380343830661524</v>
      </c>
      <c r="F6" s="37">
        <v>796324.45863247861</v>
      </c>
      <c r="G6" s="29">
        <v>0.74199214519561907</v>
      </c>
      <c r="H6" s="38">
        <v>101.44087466364986</v>
      </c>
      <c r="I6" s="29">
        <v>9.4519678990469759E-5</v>
      </c>
      <c r="J6" s="17">
        <v>1073224.9172564156</v>
      </c>
      <c r="K6" s="16">
        <v>-26606.50620169891</v>
      </c>
      <c r="L6" s="20">
        <v>-2.4191440282768189E-2</v>
      </c>
      <c r="M6" s="19">
        <v>26</v>
      </c>
      <c r="N6" s="50">
        <v>8.0000000000000002E-3</v>
      </c>
      <c r="O6" s="29">
        <v>5.0498838028800008E-2</v>
      </c>
      <c r="P6" s="17">
        <v>54196.611265004023</v>
      </c>
      <c r="Q6" s="20">
        <v>-1.6384971805030211E-2</v>
      </c>
      <c r="R6" s="42">
        <v>0.2</v>
      </c>
      <c r="S6" s="17">
        <v>60000</v>
      </c>
      <c r="T6" s="42">
        <v>-0.2</v>
      </c>
      <c r="U6" s="17">
        <v>40000</v>
      </c>
      <c r="V6" s="42">
        <v>0.1</v>
      </c>
      <c r="W6" s="42">
        <v>-0.1</v>
      </c>
      <c r="X6" s="29">
        <v>5.0498838028800008E-2</v>
      </c>
      <c r="Y6" s="21">
        <v>1.9422630011076926E-3</v>
      </c>
      <c r="Z6" s="17">
        <v>2084.4850486540008</v>
      </c>
      <c r="AA6" s="17">
        <v>10309.174976366845</v>
      </c>
      <c r="AB6" s="12">
        <v>1</v>
      </c>
      <c r="AC6" s="16">
        <f t="shared" si="0"/>
        <v>2119.6659609717376</v>
      </c>
      <c r="AD6" s="17">
        <v>6747.5741994580585</v>
      </c>
      <c r="AE6" s="37"/>
      <c r="AF6" s="23">
        <v>0</v>
      </c>
      <c r="AG6" s="12">
        <v>0.85</v>
      </c>
      <c r="AH6" s="37"/>
      <c r="AI6" s="23">
        <v>0</v>
      </c>
      <c r="AJ6" s="37"/>
      <c r="AK6" s="23">
        <v>0</v>
      </c>
      <c r="AL6" s="17">
        <v>3433.9998885456125</v>
      </c>
      <c r="AM6" s="17">
        <v>17056.749175824905</v>
      </c>
      <c r="AN6" s="17">
        <v>0</v>
      </c>
      <c r="AO6" s="17">
        <v>3060.4068191777501</v>
      </c>
      <c r="AP6" s="17">
        <v>11596.213433181294</v>
      </c>
      <c r="AQ6" s="44">
        <v>0</v>
      </c>
      <c r="AR6" s="17">
        <v>0</v>
      </c>
      <c r="AS6" s="17">
        <v>10.147954977868695</v>
      </c>
      <c r="AT6" s="44">
        <v>1</v>
      </c>
      <c r="AU6" s="17">
        <v>373.59306936786243</v>
      </c>
      <c r="AV6" s="17">
        <v>5450.3877876657389</v>
      </c>
      <c r="AW6" s="53">
        <v>546.87555529709334</v>
      </c>
      <c r="AX6" s="17">
        <v>11049.337877884202</v>
      </c>
      <c r="AY6" s="17">
        <v>1159.6213433181297</v>
      </c>
      <c r="AZ6" s="22">
        <v>0.12</v>
      </c>
      <c r="BA6" s="22">
        <v>0.1</v>
      </c>
      <c r="BB6" s="22">
        <v>0.12</v>
      </c>
      <c r="BD6" s="22">
        <v>0.32</v>
      </c>
      <c r="BE6" s="25">
        <v>364200</v>
      </c>
      <c r="BF6" s="25">
        <v>182100</v>
      </c>
    </row>
    <row r="7" spans="1:59" ht="18.75" thickBot="1" x14ac:dyDescent="0.4">
      <c r="A7" s="5">
        <v>44997</v>
      </c>
      <c r="B7" s="37">
        <v>126020.61662325812</v>
      </c>
      <c r="C7" s="29">
        <v>0.1198335376428977</v>
      </c>
      <c r="D7" s="37">
        <v>146892.77212414209</v>
      </c>
      <c r="E7" s="29">
        <v>0.1396809586357734</v>
      </c>
      <c r="F7" s="37">
        <v>778614.45881311339</v>
      </c>
      <c r="G7" s="29">
        <v>0.74038778383715365</v>
      </c>
      <c r="H7" s="38">
        <v>102.76522167626102</v>
      </c>
      <c r="I7" s="29">
        <v>9.7719884175286362E-5</v>
      </c>
      <c r="J7" s="17">
        <v>1051630.6127821899</v>
      </c>
      <c r="K7" s="16">
        <v>-21594.304474225733</v>
      </c>
      <c r="L7" s="20">
        <v>-2.0120949604328288E-2</v>
      </c>
      <c r="M7" s="19">
        <v>26</v>
      </c>
      <c r="N7" s="50">
        <v>8.0000000000000002E-3</v>
      </c>
      <c r="O7" s="29">
        <v>5.0902828733030411E-2</v>
      </c>
      <c r="P7" s="17">
        <v>53530.97297286363</v>
      </c>
      <c r="Q7" s="20">
        <v>-1.2281917201162918E-2</v>
      </c>
      <c r="R7" s="42">
        <v>0.2</v>
      </c>
      <c r="S7" s="17">
        <v>60000</v>
      </c>
      <c r="T7" s="42">
        <v>-0.2</v>
      </c>
      <c r="U7" s="17">
        <v>40000</v>
      </c>
      <c r="V7" s="42">
        <v>0.1</v>
      </c>
      <c r="W7" s="42">
        <v>-0.1</v>
      </c>
      <c r="X7" s="29">
        <v>5.0902828733030411E-2</v>
      </c>
      <c r="Y7" s="21">
        <v>1.9578011051165542E-3</v>
      </c>
      <c r="Z7" s="17">
        <v>2058.8835758793703</v>
      </c>
      <c r="AA7" s="17">
        <v>12368.058552246215</v>
      </c>
      <c r="AB7" s="12">
        <v>1</v>
      </c>
      <c r="AC7" s="16">
        <f t="shared" si="0"/>
        <v>2119.6659609717376</v>
      </c>
      <c r="AD7" s="17">
        <v>8097.0890393496702</v>
      </c>
      <c r="AE7" s="37"/>
      <c r="AF7" s="23">
        <v>0</v>
      </c>
      <c r="AG7" s="12">
        <v>0.85</v>
      </c>
      <c r="AH7" s="37"/>
      <c r="AI7" s="23">
        <v>0</v>
      </c>
      <c r="AJ7" s="37"/>
      <c r="AK7" s="23">
        <v>0</v>
      </c>
      <c r="AL7" s="17">
        <v>3408.398415770982</v>
      </c>
      <c r="AM7" s="17">
        <v>20465.147591595887</v>
      </c>
      <c r="AN7" s="17">
        <v>0</v>
      </c>
      <c r="AO7" s="17">
        <v>2428.7446254417873</v>
      </c>
      <c r="AP7" s="17">
        <v>14024.95805862308</v>
      </c>
      <c r="AQ7" s="44">
        <v>0</v>
      </c>
      <c r="AR7" s="17">
        <v>0</v>
      </c>
      <c r="AS7" s="17">
        <v>10.147954977868695</v>
      </c>
      <c r="AT7" s="44">
        <v>1</v>
      </c>
      <c r="AU7" s="17">
        <v>979.65379032919463</v>
      </c>
      <c r="AV7" s="17">
        <v>6430.0415779949335</v>
      </c>
      <c r="AW7" s="53">
        <v>546.87555529709334</v>
      </c>
      <c r="AX7" s="17">
        <v>13478.082503325986</v>
      </c>
      <c r="AY7" s="17">
        <v>1402.4958058623083</v>
      </c>
      <c r="AZ7" s="22">
        <v>0.12</v>
      </c>
      <c r="BA7" s="22">
        <v>0.1</v>
      </c>
      <c r="BB7" s="22">
        <v>0.12</v>
      </c>
      <c r="BD7" s="22">
        <v>0.35</v>
      </c>
      <c r="BE7" s="25">
        <v>462500</v>
      </c>
      <c r="BF7" s="25">
        <v>231250</v>
      </c>
    </row>
    <row r="8" spans="1:59" ht="18.75" thickBot="1" x14ac:dyDescent="0.4">
      <c r="A8" s="5">
        <v>45011</v>
      </c>
      <c r="B8" s="37">
        <v>128346.57549451181</v>
      </c>
      <c r="C8" s="29">
        <v>0.12056396918529143</v>
      </c>
      <c r="D8" s="37">
        <v>148468.94012801172</v>
      </c>
      <c r="E8" s="29">
        <v>0.13946616536981074</v>
      </c>
      <c r="F8" s="37">
        <v>787642.47080054821</v>
      </c>
      <c r="G8" s="29">
        <v>0.73988185670512663</v>
      </c>
      <c r="H8" s="38">
        <v>93.689851450305511</v>
      </c>
      <c r="I8" s="29">
        <v>8.8008739771262343E-5</v>
      </c>
      <c r="J8" s="17">
        <v>1064551.676274522</v>
      </c>
      <c r="K8" s="16">
        <v>12921.063492332119</v>
      </c>
      <c r="L8" s="20">
        <v>1.2286693954399259E-2</v>
      </c>
      <c r="M8" s="19">
        <v>26</v>
      </c>
      <c r="N8" s="50">
        <v>6.0000000000000001E-3</v>
      </c>
      <c r="O8" s="29">
        <v>5.1208245705428597E-2</v>
      </c>
      <c r="P8" s="17">
        <v>54513.823804791602</v>
      </c>
      <c r="Q8" s="20">
        <v>1.836041411812572E-2</v>
      </c>
      <c r="R8" s="42">
        <v>0.2</v>
      </c>
      <c r="S8" s="17">
        <v>60000</v>
      </c>
      <c r="T8" s="42">
        <v>-0.2</v>
      </c>
      <c r="U8" s="17">
        <v>40000</v>
      </c>
      <c r="V8" s="42">
        <v>0.1</v>
      </c>
      <c r="W8" s="42">
        <v>-0.1</v>
      </c>
      <c r="X8" s="29">
        <v>5.1208245705428597E-2</v>
      </c>
      <c r="Y8" s="21">
        <v>1.9695479117472535E-3</v>
      </c>
      <c r="Z8" s="17">
        <v>2096.6855309535231</v>
      </c>
      <c r="AA8" s="17">
        <v>14464.744083199737</v>
      </c>
      <c r="AB8" s="12">
        <v>1</v>
      </c>
      <c r="AC8" s="16">
        <f t="shared" si="0"/>
        <v>2119.6659609717376</v>
      </c>
      <c r="AD8" s="17">
        <v>9446.6038792412819</v>
      </c>
      <c r="AE8" s="37"/>
      <c r="AF8" s="23">
        <v>0</v>
      </c>
      <c r="AG8" s="12">
        <v>0.85</v>
      </c>
      <c r="AH8" s="37"/>
      <c r="AI8" s="23">
        <v>0</v>
      </c>
      <c r="AJ8" s="37"/>
      <c r="AK8" s="23">
        <v>0</v>
      </c>
      <c r="AL8" s="17">
        <v>3446.2003708451348</v>
      </c>
      <c r="AM8" s="17">
        <v>23911.347962441021</v>
      </c>
      <c r="AN8" s="17">
        <v>0</v>
      </c>
      <c r="AO8" s="17">
        <v>3594.2829253546333</v>
      </c>
      <c r="AP8" s="17">
        <v>17619.240983977714</v>
      </c>
      <c r="AQ8" s="44">
        <v>0</v>
      </c>
      <c r="AR8" s="17">
        <v>0</v>
      </c>
      <c r="AS8" s="17">
        <v>10.147954977868695</v>
      </c>
      <c r="AT8" s="44">
        <v>1</v>
      </c>
      <c r="AU8" s="17">
        <v>-148.08255450949855</v>
      </c>
      <c r="AV8" s="17">
        <v>6281.959023485435</v>
      </c>
      <c r="AW8" s="53">
        <v>546.87555529709334</v>
      </c>
      <c r="AX8" s="17">
        <v>17072.36542868062</v>
      </c>
      <c r="AY8" s="17">
        <v>1761.9240983977716</v>
      </c>
      <c r="AZ8" s="22">
        <v>0.12</v>
      </c>
      <c r="BA8" s="22">
        <v>0.1</v>
      </c>
      <c r="BB8" s="22">
        <v>0.12</v>
      </c>
      <c r="BD8" s="22">
        <v>0.37</v>
      </c>
      <c r="BE8" s="25">
        <v>693750</v>
      </c>
      <c r="BF8" s="25">
        <v>578125</v>
      </c>
    </row>
    <row r="9" spans="1:59" ht="18.75" thickBot="1" x14ac:dyDescent="0.4">
      <c r="A9" s="5">
        <v>45025</v>
      </c>
      <c r="B9" s="37">
        <v>127923.02570749019</v>
      </c>
      <c r="C9" s="29">
        <v>0.1166472195868246</v>
      </c>
      <c r="D9" s="37">
        <v>155259.69369526999</v>
      </c>
      <c r="E9" s="29">
        <v>0.14157429034603319</v>
      </c>
      <c r="F9" s="37">
        <v>813391.68303608336</v>
      </c>
      <c r="G9" s="29">
        <v>0.74169507589790706</v>
      </c>
      <c r="H9" s="38">
        <v>91.477473301331059</v>
      </c>
      <c r="I9" s="29">
        <v>8.341416923508135E-5</v>
      </c>
      <c r="J9" s="17">
        <v>1096665.879912145</v>
      </c>
      <c r="K9" s="16">
        <v>32114.203637622995</v>
      </c>
      <c r="L9" s="20">
        <v>3.0166880907096072E-2</v>
      </c>
      <c r="M9" s="19">
        <v>26</v>
      </c>
      <c r="N9" s="50">
        <v>6.0000000000000001E-3</v>
      </c>
      <c r="O9" s="29">
        <v>5.1515495179661169E-2</v>
      </c>
      <c r="P9" s="17">
        <v>56495.285850312976</v>
      </c>
      <c r="Q9" s="20">
        <v>3.6347882192538636E-2</v>
      </c>
      <c r="R9" s="42">
        <v>0.2</v>
      </c>
      <c r="S9" s="17">
        <v>60000</v>
      </c>
      <c r="T9" s="42">
        <v>-0.2</v>
      </c>
      <c r="U9" s="17">
        <v>40000</v>
      </c>
      <c r="V9" s="42">
        <v>0.1</v>
      </c>
      <c r="W9" s="42">
        <v>-0.1</v>
      </c>
      <c r="X9" s="29">
        <v>5.1515495179661169E-2</v>
      </c>
      <c r="Y9" s="21">
        <v>1.9813651992177375E-3</v>
      </c>
      <c r="Z9" s="17">
        <v>2172.8956096274223</v>
      </c>
      <c r="AA9" s="17">
        <v>16637.639692827161</v>
      </c>
      <c r="AB9" s="12">
        <v>1</v>
      </c>
      <c r="AC9" s="16">
        <f t="shared" si="0"/>
        <v>2119.6659609717376</v>
      </c>
      <c r="AD9" s="17">
        <v>10796.118719132894</v>
      </c>
      <c r="AE9" s="37"/>
      <c r="AF9" s="23">
        <v>0</v>
      </c>
      <c r="AG9" s="12">
        <v>0.85</v>
      </c>
      <c r="AH9" s="37"/>
      <c r="AI9" s="23">
        <v>0</v>
      </c>
      <c r="AJ9" s="37"/>
      <c r="AK9" s="23">
        <v>0</v>
      </c>
      <c r="AL9" s="17">
        <v>3522.410449519034</v>
      </c>
      <c r="AM9" s="17">
        <v>27433.758411960054</v>
      </c>
      <c r="AN9" s="17">
        <v>0</v>
      </c>
      <c r="AO9" s="17">
        <v>5943.6642594709128</v>
      </c>
      <c r="AP9" s="17">
        <v>23562.905243448626</v>
      </c>
      <c r="AQ9" s="44">
        <v>0</v>
      </c>
      <c r="AR9" s="17">
        <v>0</v>
      </c>
      <c r="AS9" s="17">
        <v>10.147954977868695</v>
      </c>
      <c r="AT9" s="44">
        <v>1</v>
      </c>
      <c r="AU9" s="17">
        <v>-2421.2538099518788</v>
      </c>
      <c r="AV9" s="17">
        <v>3860.7052135335562</v>
      </c>
      <c r="AW9" s="53">
        <v>546.87555529709334</v>
      </c>
      <c r="AX9" s="17">
        <v>23016.029688151531</v>
      </c>
      <c r="AY9" s="17">
        <v>2475.163809534281</v>
      </c>
      <c r="AZ9" s="22">
        <v>0.12</v>
      </c>
      <c r="BA9" s="22">
        <v>0.12</v>
      </c>
      <c r="BB9" s="22">
        <v>0.12</v>
      </c>
      <c r="BE9" s="24"/>
      <c r="BF9" s="24"/>
    </row>
    <row r="10" spans="1:59" ht="18.75" thickBot="1" x14ac:dyDescent="0.4">
      <c r="A10" s="5">
        <v>45039</v>
      </c>
      <c r="B10" s="37">
        <v>128757.95463515013</v>
      </c>
      <c r="C10" s="29">
        <v>0.11621147737822204</v>
      </c>
      <c r="D10" s="37">
        <v>156764.64981500799</v>
      </c>
      <c r="E10" s="29">
        <v>0.14148913445622829</v>
      </c>
      <c r="F10" s="37">
        <v>822356.71667662775</v>
      </c>
      <c r="G10" s="29">
        <v>0.74222434837284679</v>
      </c>
      <c r="H10" s="38">
        <v>83.141273501018972</v>
      </c>
      <c r="I10" s="29">
        <v>7.5039792702815889E-5</v>
      </c>
      <c r="J10" s="17">
        <v>1107962.4624002869</v>
      </c>
      <c r="K10" s="16">
        <v>11296.582488141954</v>
      </c>
      <c r="L10" s="20">
        <v>1.0300842485449565E-2</v>
      </c>
      <c r="M10" s="19">
        <v>26</v>
      </c>
      <c r="N10" s="50">
        <v>3.0000000000000001E-3</v>
      </c>
      <c r="O10" s="29">
        <v>5.1670041665200145E-2</v>
      </c>
      <c r="P10" s="17">
        <v>57248.466595700571</v>
      </c>
      <c r="Q10" s="20">
        <v>1.3331745012905761E-2</v>
      </c>
      <c r="R10" s="42">
        <v>0.2</v>
      </c>
      <c r="S10" s="17">
        <v>60000</v>
      </c>
      <c r="T10" s="42">
        <v>-0.2</v>
      </c>
      <c r="U10" s="17">
        <v>40000</v>
      </c>
      <c r="V10" s="42">
        <v>0.1</v>
      </c>
      <c r="W10" s="42">
        <v>-0.1</v>
      </c>
      <c r="X10" s="29">
        <v>5.1670041665200145E-2</v>
      </c>
      <c r="Y10" s="21">
        <v>1.98730929481539E-3</v>
      </c>
      <c r="Z10" s="17">
        <v>2201.8640998346373</v>
      </c>
      <c r="AA10" s="17">
        <v>18839.503792661799</v>
      </c>
      <c r="AB10" s="12">
        <v>1</v>
      </c>
      <c r="AC10" s="16">
        <f t="shared" si="0"/>
        <v>2119.6659609717376</v>
      </c>
      <c r="AD10" s="17">
        <v>12145.633559024505</v>
      </c>
      <c r="AE10" s="37"/>
      <c r="AF10" s="23">
        <v>0</v>
      </c>
      <c r="AG10" s="12">
        <v>0.85</v>
      </c>
      <c r="AH10" s="37"/>
      <c r="AI10" s="23">
        <v>0</v>
      </c>
      <c r="AJ10" s="37"/>
      <c r="AK10" s="23">
        <v>0</v>
      </c>
      <c r="AL10" s="17">
        <v>3551.378939726249</v>
      </c>
      <c r="AM10" s="17">
        <v>30985.137351686302</v>
      </c>
      <c r="AN10" s="17">
        <v>0</v>
      </c>
      <c r="AO10" s="17">
        <v>2270.2028353971818</v>
      </c>
      <c r="AP10" s="17">
        <v>25833.108078845806</v>
      </c>
      <c r="AQ10" s="44">
        <v>0</v>
      </c>
      <c r="AR10" s="17">
        <v>0</v>
      </c>
      <c r="AS10" s="17">
        <v>10.147954977868695</v>
      </c>
      <c r="AT10" s="44">
        <v>1</v>
      </c>
      <c r="AU10" s="17">
        <v>1281.1761043290671</v>
      </c>
      <c r="AV10" s="17">
        <v>5141.8813178626233</v>
      </c>
      <c r="AW10" s="53">
        <v>546.87555529709334</v>
      </c>
      <c r="AX10" s="17">
        <v>25286.232523548711</v>
      </c>
      <c r="AY10" s="17">
        <v>2747.5881497819428</v>
      </c>
      <c r="AZ10" s="22">
        <v>0.12</v>
      </c>
      <c r="BA10" s="22">
        <v>0.12</v>
      </c>
      <c r="BB10" s="22">
        <v>0.12</v>
      </c>
      <c r="BE10" s="24"/>
      <c r="BF10" s="24"/>
    </row>
    <row r="11" spans="1:59" ht="18.75" thickBot="1" x14ac:dyDescent="0.4">
      <c r="A11" s="5">
        <v>45053</v>
      </c>
      <c r="B11" s="37">
        <v>129232.5841784605</v>
      </c>
      <c r="C11" s="29">
        <v>0.11636024191806997</v>
      </c>
      <c r="D11" s="37">
        <v>157972.58261870823</v>
      </c>
      <c r="E11" s="29">
        <v>0.14223756374438351</v>
      </c>
      <c r="F11" s="37">
        <v>822899.46796104033</v>
      </c>
      <c r="G11" s="29">
        <v>0.74093373412676111</v>
      </c>
      <c r="H11" s="38">
        <v>520.28358334977349</v>
      </c>
      <c r="I11" s="29">
        <v>4.684602107853722E-4</v>
      </c>
      <c r="J11" s="17">
        <v>1110624.9183415589</v>
      </c>
      <c r="K11" s="16">
        <v>2662.4559412719682</v>
      </c>
      <c r="L11" s="20">
        <v>2.4030199863486626E-3</v>
      </c>
      <c r="M11" s="19">
        <v>26</v>
      </c>
      <c r="N11" s="50">
        <v>3.0000000000000001E-3</v>
      </c>
      <c r="O11" s="29">
        <v>5.1825051790195739E-2</v>
      </c>
      <c r="P11" s="17">
        <v>57558.193912533206</v>
      </c>
      <c r="Q11" s="20">
        <v>5.4102290463077041E-3</v>
      </c>
      <c r="R11" s="42">
        <v>0.2</v>
      </c>
      <c r="S11" s="17">
        <v>60000</v>
      </c>
      <c r="T11" s="42">
        <v>-0.2</v>
      </c>
      <c r="U11" s="17">
        <v>40000</v>
      </c>
      <c r="V11" s="42">
        <v>0.1</v>
      </c>
      <c r="W11" s="42">
        <v>-0.1</v>
      </c>
      <c r="X11" s="29">
        <v>5.1825051790195739E-2</v>
      </c>
      <c r="Y11" s="21">
        <v>1.993271222699836E-3</v>
      </c>
      <c r="Z11" s="17">
        <v>2213.7766889435848</v>
      </c>
      <c r="AA11" s="17">
        <v>21053.280481605383</v>
      </c>
      <c r="AB11" s="12">
        <v>1</v>
      </c>
      <c r="AC11" s="16">
        <f t="shared" si="0"/>
        <v>2119.6659609717376</v>
      </c>
      <c r="AD11" s="17">
        <v>13495.148398916117</v>
      </c>
      <c r="AE11" s="37"/>
      <c r="AF11" s="23">
        <v>0</v>
      </c>
      <c r="AG11" s="12">
        <v>0.85</v>
      </c>
      <c r="AH11" s="37"/>
      <c r="AI11" s="23">
        <v>0</v>
      </c>
      <c r="AJ11" s="37"/>
      <c r="AK11" s="23">
        <v>0</v>
      </c>
      <c r="AL11" s="17">
        <v>3563.2915288351965</v>
      </c>
      <c r="AM11" s="17">
        <v>34548.428880521496</v>
      </c>
      <c r="AN11" s="17">
        <v>0</v>
      </c>
      <c r="AO11" s="17">
        <v>2154.3532705614411</v>
      </c>
      <c r="AP11" s="17">
        <v>27987.461349407247</v>
      </c>
      <c r="AQ11" s="44">
        <v>0</v>
      </c>
      <c r="AR11" s="17">
        <v>0</v>
      </c>
      <c r="AS11" s="17">
        <v>10.147954977868695</v>
      </c>
      <c r="AT11" s="44">
        <v>1</v>
      </c>
      <c r="AU11" s="17">
        <v>1408.9382582737553</v>
      </c>
      <c r="AV11" s="17">
        <v>6550.8195761363786</v>
      </c>
      <c r="AW11" s="53">
        <v>546.87555529709334</v>
      </c>
      <c r="AX11" s="17">
        <v>27440.585794110153</v>
      </c>
      <c r="AY11" s="17">
        <v>3006.1105422493156</v>
      </c>
      <c r="AZ11" s="22">
        <v>0.12</v>
      </c>
      <c r="BA11" s="22">
        <v>0.12</v>
      </c>
      <c r="BB11" s="22">
        <v>0.12</v>
      </c>
      <c r="BE11" s="24"/>
      <c r="BF11" s="24"/>
    </row>
    <row r="12" spans="1:59" ht="18.75" thickBot="1" x14ac:dyDescent="0.4">
      <c r="A12" s="5">
        <v>45067</v>
      </c>
      <c r="B12" s="37">
        <v>130045.02487254585</v>
      </c>
      <c r="C12" s="29">
        <v>0.1164309155776387</v>
      </c>
      <c r="D12" s="37">
        <v>158475.23390752968</v>
      </c>
      <c r="E12" s="29">
        <v>0.14188483256716622</v>
      </c>
      <c r="F12" s="37">
        <v>827888.10349806817</v>
      </c>
      <c r="G12" s="29">
        <v>0.7412184355425081</v>
      </c>
      <c r="H12" s="38">
        <v>520.28358334977349</v>
      </c>
      <c r="I12" s="29">
        <v>4.6581631268707933E-4</v>
      </c>
      <c r="J12" s="17">
        <v>1116928.6458614934</v>
      </c>
      <c r="K12" s="16">
        <v>6303.7275199345313</v>
      </c>
      <c r="L12" s="20">
        <v>5.6758383643575865E-3</v>
      </c>
      <c r="M12" s="19">
        <v>26</v>
      </c>
      <c r="N12" s="50">
        <v>5.0000000000000001E-3</v>
      </c>
      <c r="O12" s="29">
        <v>5.208417704914671E-2</v>
      </c>
      <c r="P12" s="17">
        <v>58174.309342313711</v>
      </c>
      <c r="Q12" s="20">
        <v>1.0704217556179191E-2</v>
      </c>
      <c r="R12" s="42">
        <v>0.2</v>
      </c>
      <c r="S12" s="17">
        <v>60000</v>
      </c>
      <c r="T12" s="42">
        <v>-0.2</v>
      </c>
      <c r="U12" s="17">
        <v>40000</v>
      </c>
      <c r="V12" s="42">
        <v>0.1</v>
      </c>
      <c r="W12" s="42">
        <v>-0.1</v>
      </c>
      <c r="X12" s="29">
        <v>5.208417704914671E-2</v>
      </c>
      <c r="Y12" s="21">
        <v>2.0032375788133351E-3</v>
      </c>
      <c r="Z12" s="17">
        <v>2237.4734362428349</v>
      </c>
      <c r="AA12" s="17">
        <v>23290.753917848218</v>
      </c>
      <c r="AB12" s="12">
        <v>1</v>
      </c>
      <c r="AC12" s="16">
        <f t="shared" si="0"/>
        <v>2119.6659609717376</v>
      </c>
      <c r="AD12" s="17">
        <v>14844.663238807729</v>
      </c>
      <c r="AE12" s="37"/>
      <c r="AF12" s="23">
        <v>0</v>
      </c>
      <c r="AG12" s="12">
        <v>0.85</v>
      </c>
      <c r="AH12" s="37"/>
      <c r="AI12" s="23">
        <v>0</v>
      </c>
      <c r="AJ12" s="37"/>
      <c r="AK12" s="23">
        <v>0</v>
      </c>
      <c r="AL12" s="17">
        <v>3586.9882761344466</v>
      </c>
      <c r="AM12" s="17">
        <v>38135.417156655945</v>
      </c>
      <c r="AN12" s="17">
        <v>0</v>
      </c>
      <c r="AO12" s="17">
        <v>2606.2276576435056</v>
      </c>
      <c r="AP12" s="17">
        <v>30593.689007050754</v>
      </c>
      <c r="AQ12" s="44">
        <v>0</v>
      </c>
      <c r="AR12" s="17">
        <v>0</v>
      </c>
      <c r="AS12" s="17">
        <v>10.147954977868695</v>
      </c>
      <c r="AT12" s="44">
        <v>1</v>
      </c>
      <c r="AU12" s="17">
        <v>980.76061849094094</v>
      </c>
      <c r="AV12" s="17">
        <v>7531.5801946273195</v>
      </c>
      <c r="AW12" s="53">
        <v>546.87555529709334</v>
      </c>
      <c r="AX12" s="17">
        <v>30046.81345175366</v>
      </c>
      <c r="AY12" s="17">
        <v>3318.8578611665362</v>
      </c>
      <c r="AZ12" s="22">
        <v>0.12</v>
      </c>
      <c r="BA12" s="22">
        <v>0.12</v>
      </c>
      <c r="BB12" s="22">
        <v>0.12</v>
      </c>
      <c r="BE12" s="24"/>
      <c r="BF12" s="24"/>
    </row>
    <row r="13" spans="1:59" ht="18.75" thickBot="1" x14ac:dyDescent="0.4">
      <c r="A13" s="5">
        <v>45081</v>
      </c>
      <c r="B13" s="37">
        <v>0</v>
      </c>
      <c r="C13" s="29">
        <v>0</v>
      </c>
      <c r="D13" s="37">
        <v>0</v>
      </c>
      <c r="E13" s="29">
        <v>0</v>
      </c>
      <c r="F13" s="37">
        <v>0</v>
      </c>
      <c r="G13" s="29">
        <v>0</v>
      </c>
      <c r="H13" s="37">
        <v>0</v>
      </c>
      <c r="I13" s="29">
        <v>0</v>
      </c>
      <c r="J13" s="17">
        <v>0</v>
      </c>
      <c r="K13" s="16">
        <v>0</v>
      </c>
      <c r="L13" s="20">
        <v>0</v>
      </c>
      <c r="M13" s="19">
        <v>26</v>
      </c>
      <c r="N13" s="50">
        <v>0</v>
      </c>
      <c r="O13" s="29">
        <v>0</v>
      </c>
      <c r="P13" s="17">
        <v>0</v>
      </c>
      <c r="Q13" s="20">
        <v>0</v>
      </c>
      <c r="R13" s="42">
        <v>0.2</v>
      </c>
      <c r="S13" s="17">
        <v>60000</v>
      </c>
      <c r="T13" s="42">
        <v>-0.2</v>
      </c>
      <c r="U13" s="17">
        <v>40000</v>
      </c>
      <c r="V13" s="42">
        <v>0.1</v>
      </c>
      <c r="W13" s="42">
        <v>-0.1</v>
      </c>
      <c r="X13" s="29">
        <v>0</v>
      </c>
      <c r="Y13" s="21">
        <v>0</v>
      </c>
      <c r="Z13" s="17">
        <v>0</v>
      </c>
      <c r="AA13" s="17">
        <v>23290.753917848218</v>
      </c>
      <c r="AB13" s="12">
        <v>1</v>
      </c>
      <c r="AC13" s="16">
        <f t="shared" si="0"/>
        <v>2119.6659609717376</v>
      </c>
      <c r="AD13" s="17">
        <v>16194.17807869934</v>
      </c>
      <c r="AE13" s="37"/>
      <c r="AF13" s="23">
        <v>0</v>
      </c>
      <c r="AG13" s="12">
        <v>0.85</v>
      </c>
      <c r="AH13" s="37"/>
      <c r="AI13" s="23">
        <v>0</v>
      </c>
      <c r="AJ13" s="37"/>
      <c r="AK13" s="23">
        <v>0</v>
      </c>
      <c r="AL13" s="17">
        <v>1349.5148398916117</v>
      </c>
      <c r="AM13" s="17">
        <v>39484.931996547559</v>
      </c>
      <c r="AN13" s="17">
        <v>0</v>
      </c>
      <c r="AO13" s="17">
        <v>0</v>
      </c>
      <c r="AP13" s="17">
        <v>30593.689007050754</v>
      </c>
      <c r="AQ13" s="44">
        <v>0</v>
      </c>
      <c r="AR13" s="17">
        <v>0</v>
      </c>
      <c r="AS13" s="17">
        <v>10.147954977868695</v>
      </c>
      <c r="AT13" s="44">
        <v>0</v>
      </c>
      <c r="AU13" s="17">
        <v>0</v>
      </c>
      <c r="AV13" s="17">
        <v>7531.5801946273195</v>
      </c>
      <c r="AW13" s="53">
        <v>546.87555529709334</v>
      </c>
      <c r="AX13" s="17">
        <v>30046.81345175366</v>
      </c>
      <c r="AY13" s="17">
        <v>3318.8578611665362</v>
      </c>
      <c r="AZ13" s="22">
        <v>0.12</v>
      </c>
      <c r="BA13" s="22">
        <v>0.12</v>
      </c>
      <c r="BB13" s="22">
        <v>0.12</v>
      </c>
      <c r="BE13" s="24"/>
      <c r="BF13" s="24"/>
    </row>
    <row r="14" spans="1:59" ht="18.75" thickBot="1" x14ac:dyDescent="0.4">
      <c r="A14" s="5">
        <v>45095</v>
      </c>
      <c r="B14" s="37">
        <v>0</v>
      </c>
      <c r="C14" s="29">
        <v>0</v>
      </c>
      <c r="D14" s="37">
        <v>0</v>
      </c>
      <c r="E14" s="29">
        <v>0</v>
      </c>
      <c r="F14" s="37">
        <v>0</v>
      </c>
      <c r="G14" s="29">
        <v>0</v>
      </c>
      <c r="H14" s="37">
        <v>0</v>
      </c>
      <c r="I14" s="29">
        <v>0</v>
      </c>
      <c r="J14" s="17">
        <v>0</v>
      </c>
      <c r="K14" s="16">
        <v>0</v>
      </c>
      <c r="L14" s="20">
        <v>0</v>
      </c>
      <c r="M14" s="19">
        <v>26</v>
      </c>
      <c r="N14" s="50">
        <v>0</v>
      </c>
      <c r="O14" s="29">
        <v>0</v>
      </c>
      <c r="P14" s="17">
        <v>0</v>
      </c>
      <c r="Q14" s="20">
        <v>0</v>
      </c>
      <c r="R14" s="42">
        <v>0.2</v>
      </c>
      <c r="S14" s="17">
        <v>60000</v>
      </c>
      <c r="T14" s="42">
        <v>-0.2</v>
      </c>
      <c r="U14" s="17">
        <v>40000</v>
      </c>
      <c r="V14" s="42">
        <v>0.1</v>
      </c>
      <c r="W14" s="42">
        <v>-0.1</v>
      </c>
      <c r="X14" s="29">
        <v>0</v>
      </c>
      <c r="Y14" s="21">
        <v>0</v>
      </c>
      <c r="Z14" s="17">
        <v>0</v>
      </c>
      <c r="AA14" s="17">
        <v>23290.753917848218</v>
      </c>
      <c r="AB14" s="12">
        <v>1</v>
      </c>
      <c r="AC14" s="16">
        <f t="shared" si="0"/>
        <v>2119.6659609717376</v>
      </c>
      <c r="AD14" s="17">
        <v>17543.692918590954</v>
      </c>
      <c r="AE14" s="37"/>
      <c r="AF14" s="23">
        <v>0</v>
      </c>
      <c r="AG14" s="12">
        <v>0.85</v>
      </c>
      <c r="AH14" s="37"/>
      <c r="AI14" s="23">
        <v>0</v>
      </c>
      <c r="AJ14" s="37"/>
      <c r="AK14" s="23">
        <v>0</v>
      </c>
      <c r="AL14" s="17">
        <v>1349.5148398916117</v>
      </c>
      <c r="AM14" s="17">
        <v>40834.446836439172</v>
      </c>
      <c r="AN14" s="17">
        <v>0</v>
      </c>
      <c r="AO14" s="17">
        <v>0</v>
      </c>
      <c r="AP14" s="17">
        <v>30593.689007050754</v>
      </c>
      <c r="AQ14" s="44">
        <v>0</v>
      </c>
      <c r="AR14" s="17">
        <v>0</v>
      </c>
      <c r="AS14" s="17">
        <v>10.147954977868695</v>
      </c>
      <c r="AT14" s="44">
        <v>0</v>
      </c>
      <c r="AU14" s="17">
        <v>0</v>
      </c>
      <c r="AV14" s="17">
        <v>7531.5801946273195</v>
      </c>
      <c r="AW14" s="53">
        <v>546.87555529709334</v>
      </c>
      <c r="AX14" s="17">
        <v>30046.81345175366</v>
      </c>
      <c r="AY14" s="17">
        <v>3318.8578611665362</v>
      </c>
      <c r="AZ14" s="22">
        <v>0.12</v>
      </c>
      <c r="BA14" s="22">
        <v>0.12</v>
      </c>
      <c r="BB14" s="22">
        <v>0.12</v>
      </c>
      <c r="BE14" s="24"/>
      <c r="BF14" s="24"/>
    </row>
    <row r="15" spans="1:59" ht="18.75" thickBot="1" x14ac:dyDescent="0.4">
      <c r="A15" s="5">
        <v>45109</v>
      </c>
      <c r="B15" s="37">
        <v>0</v>
      </c>
      <c r="C15" s="29">
        <v>0</v>
      </c>
      <c r="D15" s="37">
        <v>0</v>
      </c>
      <c r="E15" s="29">
        <v>0</v>
      </c>
      <c r="F15" s="37">
        <v>0</v>
      </c>
      <c r="G15" s="29">
        <v>0</v>
      </c>
      <c r="H15" s="37">
        <v>0</v>
      </c>
      <c r="I15" s="29">
        <v>0</v>
      </c>
      <c r="J15" s="17">
        <v>0</v>
      </c>
      <c r="K15" s="16">
        <v>0</v>
      </c>
      <c r="L15" s="20">
        <v>0</v>
      </c>
      <c r="M15" s="19">
        <v>26</v>
      </c>
      <c r="N15" s="50">
        <v>0</v>
      </c>
      <c r="O15" s="29">
        <v>0</v>
      </c>
      <c r="P15" s="17">
        <v>0</v>
      </c>
      <c r="Q15" s="20">
        <v>0</v>
      </c>
      <c r="R15" s="42">
        <v>0.2</v>
      </c>
      <c r="S15" s="17">
        <v>60000</v>
      </c>
      <c r="T15" s="42">
        <v>-0.2</v>
      </c>
      <c r="U15" s="17">
        <v>40000</v>
      </c>
      <c r="V15" s="42">
        <v>0.1</v>
      </c>
      <c r="W15" s="42">
        <v>-0.1</v>
      </c>
      <c r="X15" s="29">
        <v>0</v>
      </c>
      <c r="Y15" s="21">
        <v>0</v>
      </c>
      <c r="Z15" s="17">
        <v>0</v>
      </c>
      <c r="AA15" s="17">
        <v>23290.753917848218</v>
      </c>
      <c r="AB15" s="12">
        <v>1</v>
      </c>
      <c r="AC15" s="16">
        <f t="shared" si="0"/>
        <v>2119.6659609717376</v>
      </c>
      <c r="AD15" s="17">
        <v>18893.207758482567</v>
      </c>
      <c r="AE15" s="37"/>
      <c r="AF15" s="23">
        <v>0</v>
      </c>
      <c r="AG15" s="12">
        <v>0.85</v>
      </c>
      <c r="AH15" s="37"/>
      <c r="AI15" s="23">
        <v>0</v>
      </c>
      <c r="AJ15" s="37"/>
      <c r="AK15" s="23">
        <v>0</v>
      </c>
      <c r="AL15" s="17">
        <v>1349.5148398916117</v>
      </c>
      <c r="AM15" s="17">
        <v>42183.961676330786</v>
      </c>
      <c r="AN15" s="17">
        <v>0</v>
      </c>
      <c r="AO15" s="17">
        <v>0</v>
      </c>
      <c r="AP15" s="17">
        <v>30593.689007050754</v>
      </c>
      <c r="AQ15" s="44">
        <v>0</v>
      </c>
      <c r="AR15" s="17">
        <v>0</v>
      </c>
      <c r="AS15" s="17">
        <v>10.147954977868695</v>
      </c>
      <c r="AT15" s="44">
        <v>0</v>
      </c>
      <c r="AU15" s="17">
        <v>0</v>
      </c>
      <c r="AV15" s="17">
        <v>7531.5801946273195</v>
      </c>
      <c r="AW15" s="53">
        <v>546.87555529709334</v>
      </c>
      <c r="AX15" s="17">
        <v>30046.81345175366</v>
      </c>
      <c r="AY15" s="17">
        <v>3318.8578611665362</v>
      </c>
      <c r="AZ15" s="22">
        <v>0.12</v>
      </c>
      <c r="BA15" s="22">
        <v>0.12</v>
      </c>
      <c r="BB15" s="22">
        <v>0.12</v>
      </c>
      <c r="BE15" s="24"/>
      <c r="BF15" s="24"/>
    </row>
    <row r="16" spans="1:59" ht="18.75" thickBot="1" x14ac:dyDescent="0.4">
      <c r="A16" s="5">
        <v>45123</v>
      </c>
      <c r="B16" s="37">
        <v>0</v>
      </c>
      <c r="C16" s="29">
        <v>0</v>
      </c>
      <c r="D16" s="37">
        <v>0</v>
      </c>
      <c r="E16" s="29">
        <v>0</v>
      </c>
      <c r="F16" s="37">
        <v>0</v>
      </c>
      <c r="G16" s="29">
        <v>0</v>
      </c>
      <c r="H16" s="37">
        <v>0</v>
      </c>
      <c r="I16" s="29">
        <v>0</v>
      </c>
      <c r="J16" s="17">
        <v>0</v>
      </c>
      <c r="K16" s="16">
        <v>0</v>
      </c>
      <c r="L16" s="20">
        <v>0</v>
      </c>
      <c r="M16" s="19">
        <v>26</v>
      </c>
      <c r="N16" s="50">
        <v>0</v>
      </c>
      <c r="O16" s="29">
        <v>0</v>
      </c>
      <c r="P16" s="17">
        <v>0</v>
      </c>
      <c r="Q16" s="20">
        <v>0</v>
      </c>
      <c r="R16" s="42">
        <v>0.2</v>
      </c>
      <c r="S16" s="17">
        <v>60000</v>
      </c>
      <c r="T16" s="42">
        <v>-0.2</v>
      </c>
      <c r="U16" s="17">
        <v>40000</v>
      </c>
      <c r="V16" s="42">
        <v>0.1</v>
      </c>
      <c r="W16" s="42">
        <v>-0.1</v>
      </c>
      <c r="X16" s="29">
        <v>0</v>
      </c>
      <c r="Y16" s="21">
        <v>0</v>
      </c>
      <c r="Z16" s="17">
        <v>0</v>
      </c>
      <c r="AA16" s="17">
        <v>23290.753917848218</v>
      </c>
      <c r="AB16" s="12">
        <v>1</v>
      </c>
      <c r="AC16" s="16">
        <f t="shared" si="0"/>
        <v>2119.6659609717376</v>
      </c>
      <c r="AD16" s="17">
        <v>20242.722598374181</v>
      </c>
      <c r="AE16" s="37"/>
      <c r="AF16" s="23">
        <v>0</v>
      </c>
      <c r="AG16" s="12">
        <v>0.85</v>
      </c>
      <c r="AH16" s="37"/>
      <c r="AI16" s="23">
        <v>0</v>
      </c>
      <c r="AJ16" s="37"/>
      <c r="AK16" s="23">
        <v>0</v>
      </c>
      <c r="AL16" s="17">
        <v>1349.5148398916117</v>
      </c>
      <c r="AM16" s="17">
        <v>43533.476516222399</v>
      </c>
      <c r="AN16" s="17">
        <v>0</v>
      </c>
      <c r="AO16" s="17">
        <v>0</v>
      </c>
      <c r="AP16" s="17">
        <v>30593.689007050754</v>
      </c>
      <c r="AQ16" s="44">
        <v>0</v>
      </c>
      <c r="AR16" s="17">
        <v>0</v>
      </c>
      <c r="AS16" s="17">
        <v>10.147954977868695</v>
      </c>
      <c r="AT16" s="44">
        <v>0</v>
      </c>
      <c r="AU16" s="17">
        <v>0</v>
      </c>
      <c r="AV16" s="17">
        <v>7531.5801946273195</v>
      </c>
      <c r="AW16" s="53">
        <v>546.87555529709334</v>
      </c>
      <c r="AX16" s="17">
        <v>30046.81345175366</v>
      </c>
      <c r="AY16" s="17">
        <v>3318.8578611665362</v>
      </c>
      <c r="AZ16" s="22">
        <v>0.12</v>
      </c>
      <c r="BA16" s="22">
        <v>0.12</v>
      </c>
      <c r="BB16" s="22">
        <v>0.12</v>
      </c>
      <c r="BE16" s="24"/>
      <c r="BF16" s="24"/>
    </row>
    <row r="17" spans="1:58" ht="18.75" thickBot="1" x14ac:dyDescent="0.4">
      <c r="A17" s="5">
        <v>45137</v>
      </c>
      <c r="B17" s="37">
        <v>0</v>
      </c>
      <c r="C17" s="29">
        <v>0</v>
      </c>
      <c r="D17" s="37">
        <v>0</v>
      </c>
      <c r="E17" s="29">
        <v>0</v>
      </c>
      <c r="F17" s="37">
        <v>0</v>
      </c>
      <c r="G17" s="29">
        <v>0</v>
      </c>
      <c r="H17" s="37">
        <v>0</v>
      </c>
      <c r="I17" s="29">
        <v>0</v>
      </c>
      <c r="J17" s="17">
        <v>0</v>
      </c>
      <c r="K17" s="16">
        <v>0</v>
      </c>
      <c r="L17" s="20">
        <v>0</v>
      </c>
      <c r="M17" s="19">
        <v>26</v>
      </c>
      <c r="N17" s="50">
        <v>0</v>
      </c>
      <c r="O17" s="29">
        <v>0</v>
      </c>
      <c r="P17" s="17">
        <v>0</v>
      </c>
      <c r="Q17" s="20">
        <v>0</v>
      </c>
      <c r="R17" s="42">
        <v>0.2</v>
      </c>
      <c r="S17" s="17">
        <v>60000</v>
      </c>
      <c r="T17" s="42">
        <v>-0.2</v>
      </c>
      <c r="U17" s="17">
        <v>40000</v>
      </c>
      <c r="V17" s="42">
        <v>0.1</v>
      </c>
      <c r="W17" s="42">
        <v>-0.1</v>
      </c>
      <c r="X17" s="29">
        <v>0</v>
      </c>
      <c r="Y17" s="21">
        <v>0</v>
      </c>
      <c r="Z17" s="17">
        <v>0</v>
      </c>
      <c r="AA17" s="17">
        <v>23290.753917848218</v>
      </c>
      <c r="AB17" s="12">
        <v>1</v>
      </c>
      <c r="AC17" s="16">
        <f t="shared" si="0"/>
        <v>2119.6659609717376</v>
      </c>
      <c r="AD17" s="17">
        <v>21592.237438265794</v>
      </c>
      <c r="AE17" s="37"/>
      <c r="AF17" s="23">
        <v>0</v>
      </c>
      <c r="AG17" s="12">
        <v>0.85</v>
      </c>
      <c r="AH17" s="37"/>
      <c r="AI17" s="23">
        <v>0</v>
      </c>
      <c r="AJ17" s="37"/>
      <c r="AK17" s="23">
        <v>0</v>
      </c>
      <c r="AL17" s="17">
        <v>1349.5148398916117</v>
      </c>
      <c r="AM17" s="17">
        <v>44882.991356114013</v>
      </c>
      <c r="AN17" s="17">
        <v>0</v>
      </c>
      <c r="AO17" s="17">
        <v>0</v>
      </c>
      <c r="AP17" s="17">
        <v>30593.689007050754</v>
      </c>
      <c r="AQ17" s="44">
        <v>0</v>
      </c>
      <c r="AR17" s="17">
        <v>0</v>
      </c>
      <c r="AS17" s="17">
        <v>10.147954977868695</v>
      </c>
      <c r="AT17" s="44">
        <v>0</v>
      </c>
      <c r="AU17" s="17">
        <v>0</v>
      </c>
      <c r="AV17" s="17">
        <v>7531.5801946273195</v>
      </c>
      <c r="AW17" s="53">
        <v>546.87555529709334</v>
      </c>
      <c r="AX17" s="17">
        <v>30046.81345175366</v>
      </c>
      <c r="AY17" s="17">
        <v>3318.8578611665362</v>
      </c>
      <c r="AZ17" s="22">
        <v>0.12</v>
      </c>
      <c r="BA17" s="22">
        <v>0.12</v>
      </c>
      <c r="BB17" s="22">
        <v>0.12</v>
      </c>
      <c r="BE17" s="24"/>
      <c r="BF17" s="24"/>
    </row>
    <row r="18" spans="1:58" ht="18.75" thickBot="1" x14ac:dyDescent="0.4">
      <c r="A18" s="5">
        <v>45151</v>
      </c>
      <c r="B18" s="37">
        <v>0</v>
      </c>
      <c r="C18" s="29">
        <v>0</v>
      </c>
      <c r="D18" s="37">
        <v>0</v>
      </c>
      <c r="E18" s="29">
        <v>0</v>
      </c>
      <c r="F18" s="37">
        <v>0</v>
      </c>
      <c r="G18" s="29">
        <v>0</v>
      </c>
      <c r="H18" s="37">
        <v>0</v>
      </c>
      <c r="I18" s="29">
        <v>0</v>
      </c>
      <c r="J18" s="17">
        <v>0</v>
      </c>
      <c r="K18" s="16">
        <v>0</v>
      </c>
      <c r="L18" s="20">
        <v>0</v>
      </c>
      <c r="M18" s="19">
        <v>26</v>
      </c>
      <c r="N18" s="50">
        <v>0</v>
      </c>
      <c r="O18" s="29">
        <v>0</v>
      </c>
      <c r="P18" s="17">
        <v>0</v>
      </c>
      <c r="Q18" s="20">
        <v>0</v>
      </c>
      <c r="R18" s="42">
        <v>0.2</v>
      </c>
      <c r="S18" s="17">
        <v>60000</v>
      </c>
      <c r="T18" s="42">
        <v>-0.2</v>
      </c>
      <c r="U18" s="17">
        <v>40000</v>
      </c>
      <c r="V18" s="42">
        <v>0.1</v>
      </c>
      <c r="W18" s="42">
        <v>-0.1</v>
      </c>
      <c r="X18" s="29">
        <v>0</v>
      </c>
      <c r="Y18" s="21">
        <v>0</v>
      </c>
      <c r="Z18" s="17">
        <v>0</v>
      </c>
      <c r="AA18" s="17">
        <v>23290.753917848218</v>
      </c>
      <c r="AB18" s="12">
        <v>1</v>
      </c>
      <c r="AC18" s="16">
        <f t="shared" si="0"/>
        <v>2119.6659609717376</v>
      </c>
      <c r="AD18" s="17">
        <v>22941.752278157408</v>
      </c>
      <c r="AE18" s="37"/>
      <c r="AF18" s="23">
        <v>0</v>
      </c>
      <c r="AG18" s="12">
        <v>0.85</v>
      </c>
      <c r="AH18" s="37"/>
      <c r="AI18" s="23">
        <v>0</v>
      </c>
      <c r="AJ18" s="37"/>
      <c r="AK18" s="23">
        <v>0</v>
      </c>
      <c r="AL18" s="17">
        <v>1349.5148398916117</v>
      </c>
      <c r="AM18" s="17">
        <v>46232.506196005626</v>
      </c>
      <c r="AN18" s="17">
        <v>0</v>
      </c>
      <c r="AO18" s="17">
        <v>0</v>
      </c>
      <c r="AP18" s="17">
        <v>30593.689007050754</v>
      </c>
      <c r="AQ18" s="44">
        <v>0</v>
      </c>
      <c r="AR18" s="17">
        <v>0</v>
      </c>
      <c r="AS18" s="17">
        <v>10.147954977868695</v>
      </c>
      <c r="AT18" s="44">
        <v>0</v>
      </c>
      <c r="AU18" s="17">
        <v>0</v>
      </c>
      <c r="AV18" s="17">
        <v>7531.5801946273195</v>
      </c>
      <c r="AW18" s="53">
        <v>546.87555529709334</v>
      </c>
      <c r="AX18" s="17">
        <v>30046.81345175366</v>
      </c>
      <c r="AY18" s="17">
        <v>3318.8578611665362</v>
      </c>
      <c r="AZ18" s="22">
        <v>0.12</v>
      </c>
      <c r="BA18" s="22">
        <v>0.12</v>
      </c>
      <c r="BB18" s="22">
        <v>0.12</v>
      </c>
      <c r="BE18" s="24"/>
      <c r="BF18" s="24"/>
    </row>
    <row r="19" spans="1:58" ht="18.75" thickBot="1" x14ac:dyDescent="0.4">
      <c r="A19" s="5">
        <v>45165</v>
      </c>
      <c r="B19" s="37">
        <v>0</v>
      </c>
      <c r="C19" s="29">
        <v>0</v>
      </c>
      <c r="D19" s="37">
        <v>0</v>
      </c>
      <c r="E19" s="29">
        <v>0</v>
      </c>
      <c r="F19" s="37">
        <v>0</v>
      </c>
      <c r="G19" s="29">
        <v>0</v>
      </c>
      <c r="H19" s="37">
        <v>0</v>
      </c>
      <c r="I19" s="29">
        <v>0</v>
      </c>
      <c r="J19" s="17">
        <v>0</v>
      </c>
      <c r="K19" s="16">
        <v>0</v>
      </c>
      <c r="L19" s="20">
        <v>0</v>
      </c>
      <c r="M19" s="19">
        <v>26</v>
      </c>
      <c r="N19" s="50">
        <v>0</v>
      </c>
      <c r="O19" s="29">
        <v>0</v>
      </c>
      <c r="P19" s="17">
        <v>0</v>
      </c>
      <c r="Q19" s="20">
        <v>0</v>
      </c>
      <c r="R19" s="42">
        <v>0.2</v>
      </c>
      <c r="S19" s="17">
        <v>60000</v>
      </c>
      <c r="T19" s="42">
        <v>-0.2</v>
      </c>
      <c r="U19" s="17">
        <v>40000</v>
      </c>
      <c r="V19" s="42">
        <v>0.1</v>
      </c>
      <c r="W19" s="42">
        <v>-0.1</v>
      </c>
      <c r="X19" s="29">
        <v>0</v>
      </c>
      <c r="Y19" s="21">
        <v>0</v>
      </c>
      <c r="Z19" s="17">
        <v>0</v>
      </c>
      <c r="AA19" s="17">
        <v>23290.753917848218</v>
      </c>
      <c r="AB19" s="12">
        <v>1</v>
      </c>
      <c r="AC19" s="16">
        <f t="shared" si="0"/>
        <v>2119.6659609717376</v>
      </c>
      <c r="AD19" s="17">
        <v>24291.267118049022</v>
      </c>
      <c r="AE19" s="37"/>
      <c r="AF19" s="23">
        <v>0</v>
      </c>
      <c r="AG19" s="12">
        <v>0.85</v>
      </c>
      <c r="AH19" s="37"/>
      <c r="AI19" s="23">
        <v>0</v>
      </c>
      <c r="AJ19" s="37"/>
      <c r="AK19" s="23">
        <v>0</v>
      </c>
      <c r="AL19" s="17">
        <v>1349.5148398916117</v>
      </c>
      <c r="AM19" s="17">
        <v>47582.02103589724</v>
      </c>
      <c r="AN19" s="17">
        <v>0</v>
      </c>
      <c r="AO19" s="17">
        <v>0</v>
      </c>
      <c r="AP19" s="17">
        <v>30593.689007050754</v>
      </c>
      <c r="AQ19" s="44">
        <v>0</v>
      </c>
      <c r="AR19" s="17">
        <v>0</v>
      </c>
      <c r="AS19" s="17">
        <v>10.147954977868695</v>
      </c>
      <c r="AT19" s="44">
        <v>0</v>
      </c>
      <c r="AU19" s="17">
        <v>0</v>
      </c>
      <c r="AV19" s="17">
        <v>7531.5801946273195</v>
      </c>
      <c r="AW19" s="53">
        <v>546.87555529709334</v>
      </c>
      <c r="AX19" s="17">
        <v>30046.81345175366</v>
      </c>
      <c r="AY19" s="17">
        <v>3318.8578611665362</v>
      </c>
      <c r="AZ19" s="22">
        <v>0.12</v>
      </c>
      <c r="BA19" s="22">
        <v>0.12</v>
      </c>
      <c r="BB19" s="22">
        <v>0.12</v>
      </c>
      <c r="BE19" s="24"/>
      <c r="BF19" s="24"/>
    </row>
    <row r="20" spans="1:58" ht="18.75" thickBot="1" x14ac:dyDescent="0.4">
      <c r="A20" s="5">
        <v>45179</v>
      </c>
      <c r="B20" s="37">
        <v>0</v>
      </c>
      <c r="C20" s="29">
        <v>0</v>
      </c>
      <c r="D20" s="37">
        <v>0</v>
      </c>
      <c r="E20" s="29">
        <v>0</v>
      </c>
      <c r="F20" s="37">
        <v>0</v>
      </c>
      <c r="G20" s="29">
        <v>0</v>
      </c>
      <c r="H20" s="37">
        <v>0</v>
      </c>
      <c r="I20" s="29">
        <v>0</v>
      </c>
      <c r="J20" s="17">
        <v>0</v>
      </c>
      <c r="K20" s="16">
        <v>0</v>
      </c>
      <c r="L20" s="20">
        <v>0</v>
      </c>
      <c r="M20" s="19">
        <v>26</v>
      </c>
      <c r="N20" s="50">
        <v>0</v>
      </c>
      <c r="O20" s="29">
        <v>0</v>
      </c>
      <c r="P20" s="17">
        <v>0</v>
      </c>
      <c r="Q20" s="20">
        <v>0</v>
      </c>
      <c r="R20" s="42">
        <v>0.2</v>
      </c>
      <c r="S20" s="17">
        <v>60000</v>
      </c>
      <c r="T20" s="42">
        <v>-0.2</v>
      </c>
      <c r="U20" s="17">
        <v>40000</v>
      </c>
      <c r="V20" s="42">
        <v>0.1</v>
      </c>
      <c r="W20" s="42">
        <v>-0.1</v>
      </c>
      <c r="X20" s="29">
        <v>0</v>
      </c>
      <c r="Y20" s="21">
        <v>0</v>
      </c>
      <c r="Z20" s="17">
        <v>0</v>
      </c>
      <c r="AA20" s="17">
        <v>23290.753917848218</v>
      </c>
      <c r="AB20" s="12">
        <v>1</v>
      </c>
      <c r="AC20" s="16">
        <f t="shared" si="0"/>
        <v>2119.6659609717376</v>
      </c>
      <c r="AD20" s="17">
        <v>25640.781957940635</v>
      </c>
      <c r="AE20" s="37"/>
      <c r="AF20" s="23">
        <v>0</v>
      </c>
      <c r="AG20" s="12">
        <v>0.85</v>
      </c>
      <c r="AH20" s="37"/>
      <c r="AI20" s="23">
        <v>0</v>
      </c>
      <c r="AJ20" s="37"/>
      <c r="AK20" s="23">
        <v>0</v>
      </c>
      <c r="AL20" s="17">
        <v>1349.5148398916117</v>
      </c>
      <c r="AM20" s="17">
        <v>48931.535875788853</v>
      </c>
      <c r="AN20" s="17">
        <v>0</v>
      </c>
      <c r="AO20" s="17">
        <v>0</v>
      </c>
      <c r="AP20" s="17">
        <v>30593.689007050754</v>
      </c>
      <c r="AQ20" s="44">
        <v>0</v>
      </c>
      <c r="AR20" s="17">
        <v>0</v>
      </c>
      <c r="AS20" s="17">
        <v>10.147954977868695</v>
      </c>
      <c r="AT20" s="44">
        <v>0</v>
      </c>
      <c r="AU20" s="17">
        <v>0</v>
      </c>
      <c r="AV20" s="17">
        <v>7531.5801946273195</v>
      </c>
      <c r="AW20" s="53">
        <v>546.87555529709334</v>
      </c>
      <c r="AX20" s="17">
        <v>30046.81345175366</v>
      </c>
      <c r="AY20" s="17">
        <v>3318.8578611665362</v>
      </c>
      <c r="AZ20" s="22">
        <v>0.12</v>
      </c>
      <c r="BA20" s="22">
        <v>0.12</v>
      </c>
      <c r="BB20" s="22">
        <v>0.12</v>
      </c>
      <c r="BE20" s="24"/>
      <c r="BF20" s="24"/>
    </row>
    <row r="21" spans="1:58" ht="18.75" thickBot="1" x14ac:dyDescent="0.4">
      <c r="A21" s="5">
        <v>45193</v>
      </c>
      <c r="B21" s="37">
        <v>0</v>
      </c>
      <c r="C21" s="29">
        <v>0</v>
      </c>
      <c r="D21" s="37">
        <v>0</v>
      </c>
      <c r="E21" s="29">
        <v>0</v>
      </c>
      <c r="F21" s="37">
        <v>0</v>
      </c>
      <c r="G21" s="29">
        <v>0</v>
      </c>
      <c r="H21" s="37">
        <v>0</v>
      </c>
      <c r="I21" s="29">
        <v>0</v>
      </c>
      <c r="J21" s="17">
        <v>0</v>
      </c>
      <c r="K21" s="16">
        <v>0</v>
      </c>
      <c r="L21" s="20">
        <v>0</v>
      </c>
      <c r="M21" s="19">
        <v>26</v>
      </c>
      <c r="N21" s="50">
        <v>0</v>
      </c>
      <c r="O21" s="29">
        <v>0</v>
      </c>
      <c r="P21" s="17">
        <v>0</v>
      </c>
      <c r="Q21" s="20">
        <v>0</v>
      </c>
      <c r="R21" s="42">
        <v>0.2</v>
      </c>
      <c r="S21" s="17">
        <v>60000</v>
      </c>
      <c r="T21" s="42">
        <v>-0.2</v>
      </c>
      <c r="U21" s="17">
        <v>40000</v>
      </c>
      <c r="V21" s="42">
        <v>0.1</v>
      </c>
      <c r="W21" s="42">
        <v>-0.1</v>
      </c>
      <c r="X21" s="29">
        <v>0</v>
      </c>
      <c r="Y21" s="21">
        <v>0</v>
      </c>
      <c r="Z21" s="17">
        <v>0</v>
      </c>
      <c r="AA21" s="17">
        <v>23290.753917848218</v>
      </c>
      <c r="AB21" s="12">
        <v>1</v>
      </c>
      <c r="AC21" s="16">
        <f t="shared" si="0"/>
        <v>2119.6659609717376</v>
      </c>
      <c r="AD21" s="17">
        <v>26990.296797832249</v>
      </c>
      <c r="AE21" s="37"/>
      <c r="AF21" s="23">
        <v>0</v>
      </c>
      <c r="AG21" s="12">
        <v>0.85</v>
      </c>
      <c r="AH21" s="37"/>
      <c r="AI21" s="23">
        <v>0</v>
      </c>
      <c r="AJ21" s="37"/>
      <c r="AK21" s="23">
        <v>0</v>
      </c>
      <c r="AL21" s="17">
        <v>1349.5148398916117</v>
      </c>
      <c r="AM21" s="17">
        <v>50281.050715680467</v>
      </c>
      <c r="AN21" s="17">
        <v>0</v>
      </c>
      <c r="AO21" s="17">
        <v>0</v>
      </c>
      <c r="AP21" s="17">
        <v>30593.689007050754</v>
      </c>
      <c r="AQ21" s="44">
        <v>0</v>
      </c>
      <c r="AR21" s="17">
        <v>0</v>
      </c>
      <c r="AS21" s="17">
        <v>10.147954977868695</v>
      </c>
      <c r="AT21" s="44">
        <v>0</v>
      </c>
      <c r="AU21" s="17">
        <v>0</v>
      </c>
      <c r="AV21" s="17">
        <v>7531.5801946273195</v>
      </c>
      <c r="AW21" s="53">
        <v>546.87555529709334</v>
      </c>
      <c r="AX21" s="17">
        <v>30046.81345175366</v>
      </c>
      <c r="AY21" s="17">
        <v>3318.8578611665362</v>
      </c>
      <c r="AZ21" s="22">
        <v>0.12</v>
      </c>
      <c r="BA21" s="22">
        <v>0.12</v>
      </c>
      <c r="BB21" s="22">
        <v>0.12</v>
      </c>
      <c r="BE21" s="24"/>
      <c r="BF21" s="24"/>
    </row>
    <row r="22" spans="1:58" ht="18.75" thickBot="1" x14ac:dyDescent="0.4">
      <c r="A22" s="5">
        <v>45207</v>
      </c>
      <c r="B22" s="37">
        <v>0</v>
      </c>
      <c r="C22" s="29">
        <v>0</v>
      </c>
      <c r="D22" s="37">
        <v>0</v>
      </c>
      <c r="E22" s="29">
        <v>0</v>
      </c>
      <c r="F22" s="37">
        <v>0</v>
      </c>
      <c r="G22" s="29">
        <v>0</v>
      </c>
      <c r="H22" s="37">
        <v>0</v>
      </c>
      <c r="I22" s="29">
        <v>0</v>
      </c>
      <c r="J22" s="17">
        <v>0</v>
      </c>
      <c r="K22" s="16">
        <v>0</v>
      </c>
      <c r="L22" s="20">
        <v>0</v>
      </c>
      <c r="M22" s="19">
        <v>26</v>
      </c>
      <c r="N22" s="50">
        <v>0</v>
      </c>
      <c r="O22" s="29">
        <v>0</v>
      </c>
      <c r="P22" s="17">
        <v>0</v>
      </c>
      <c r="Q22" s="20">
        <v>0</v>
      </c>
      <c r="R22" s="42">
        <v>0.2</v>
      </c>
      <c r="S22" s="17">
        <v>60000</v>
      </c>
      <c r="T22" s="42">
        <v>-0.2</v>
      </c>
      <c r="U22" s="17">
        <v>40000</v>
      </c>
      <c r="V22" s="42">
        <v>0.1</v>
      </c>
      <c r="W22" s="42">
        <v>-0.1</v>
      </c>
      <c r="X22" s="29">
        <v>0</v>
      </c>
      <c r="Y22" s="21">
        <v>0</v>
      </c>
      <c r="Z22" s="17">
        <v>0</v>
      </c>
      <c r="AA22" s="17">
        <v>23290.753917848218</v>
      </c>
      <c r="AB22" s="12">
        <v>1</v>
      </c>
      <c r="AC22" s="16">
        <f t="shared" si="0"/>
        <v>2119.6659609717376</v>
      </c>
      <c r="AD22" s="17">
        <v>28339.811637723862</v>
      </c>
      <c r="AE22" s="37"/>
      <c r="AF22" s="23">
        <v>0</v>
      </c>
      <c r="AG22" s="12">
        <v>0.85</v>
      </c>
      <c r="AH22" s="37"/>
      <c r="AI22" s="23">
        <v>0</v>
      </c>
      <c r="AJ22" s="37"/>
      <c r="AK22" s="23">
        <v>0</v>
      </c>
      <c r="AL22" s="17">
        <v>1349.5148398916117</v>
      </c>
      <c r="AM22" s="17">
        <v>51630.56555557208</v>
      </c>
      <c r="AN22" s="17">
        <v>0</v>
      </c>
      <c r="AO22" s="17">
        <v>0</v>
      </c>
      <c r="AP22" s="17">
        <v>30593.689007050754</v>
      </c>
      <c r="AQ22" s="44">
        <v>0</v>
      </c>
      <c r="AR22" s="17">
        <v>0</v>
      </c>
      <c r="AS22" s="17">
        <v>10.147954977868695</v>
      </c>
      <c r="AT22" s="44">
        <v>0</v>
      </c>
      <c r="AU22" s="17">
        <v>0</v>
      </c>
      <c r="AV22" s="17">
        <v>7531.5801946273195</v>
      </c>
      <c r="AW22" s="53">
        <v>546.87555529709334</v>
      </c>
      <c r="AX22" s="17">
        <v>30046.81345175366</v>
      </c>
      <c r="AY22" s="17">
        <v>3318.8578611665362</v>
      </c>
      <c r="AZ22" s="22">
        <v>0.12</v>
      </c>
      <c r="BA22" s="22">
        <v>0.12</v>
      </c>
      <c r="BB22" s="22">
        <v>0.12</v>
      </c>
      <c r="BE22" s="24"/>
      <c r="BF22" s="24"/>
    </row>
    <row r="23" spans="1:58" ht="18.75" thickBot="1" x14ac:dyDescent="0.4">
      <c r="A23" s="5">
        <v>45221</v>
      </c>
      <c r="B23" s="37">
        <v>0</v>
      </c>
      <c r="C23" s="29">
        <v>0</v>
      </c>
      <c r="D23" s="37">
        <v>0</v>
      </c>
      <c r="E23" s="29">
        <v>0</v>
      </c>
      <c r="F23" s="37">
        <v>0</v>
      </c>
      <c r="G23" s="29">
        <v>0</v>
      </c>
      <c r="H23" s="37">
        <v>0</v>
      </c>
      <c r="I23" s="29">
        <v>0</v>
      </c>
      <c r="J23" s="17">
        <v>0</v>
      </c>
      <c r="K23" s="16">
        <v>0</v>
      </c>
      <c r="L23" s="20">
        <v>0</v>
      </c>
      <c r="M23" s="19">
        <v>26</v>
      </c>
      <c r="N23" s="50">
        <v>0</v>
      </c>
      <c r="O23" s="29">
        <v>0</v>
      </c>
      <c r="P23" s="17">
        <v>0</v>
      </c>
      <c r="Q23" s="20">
        <v>0</v>
      </c>
      <c r="R23" s="42">
        <v>0.2</v>
      </c>
      <c r="S23" s="17">
        <v>60000</v>
      </c>
      <c r="T23" s="42">
        <v>-0.2</v>
      </c>
      <c r="U23" s="17">
        <v>40000</v>
      </c>
      <c r="V23" s="42">
        <v>0.1</v>
      </c>
      <c r="W23" s="42">
        <v>-0.1</v>
      </c>
      <c r="X23" s="29">
        <v>0</v>
      </c>
      <c r="Y23" s="21">
        <v>0</v>
      </c>
      <c r="Z23" s="17">
        <v>0</v>
      </c>
      <c r="AA23" s="17">
        <v>23290.753917848218</v>
      </c>
      <c r="AB23" s="12">
        <v>1</v>
      </c>
      <c r="AC23" s="16">
        <f t="shared" si="0"/>
        <v>2119.6659609717376</v>
      </c>
      <c r="AD23" s="17">
        <v>29689.326477615476</v>
      </c>
      <c r="AE23" s="37"/>
      <c r="AF23" s="23">
        <v>0</v>
      </c>
      <c r="AG23" s="12">
        <v>0.85</v>
      </c>
      <c r="AH23" s="37"/>
      <c r="AI23" s="23">
        <v>0</v>
      </c>
      <c r="AJ23" s="37"/>
      <c r="AK23" s="23">
        <v>0</v>
      </c>
      <c r="AL23" s="17">
        <v>1349.5148398916117</v>
      </c>
      <c r="AM23" s="17">
        <v>52980.080395463694</v>
      </c>
      <c r="AN23" s="17">
        <v>0</v>
      </c>
      <c r="AO23" s="17">
        <v>0</v>
      </c>
      <c r="AP23" s="17">
        <v>30593.689007050754</v>
      </c>
      <c r="AQ23" s="44">
        <v>0</v>
      </c>
      <c r="AR23" s="17">
        <v>0</v>
      </c>
      <c r="AS23" s="17">
        <v>10.147954977868695</v>
      </c>
      <c r="AT23" s="44">
        <v>0</v>
      </c>
      <c r="AU23" s="17">
        <v>0</v>
      </c>
      <c r="AV23" s="17">
        <v>7531.5801946273195</v>
      </c>
      <c r="AW23" s="53">
        <v>546.87555529709334</v>
      </c>
      <c r="AX23" s="17">
        <v>30046.81345175366</v>
      </c>
      <c r="AY23" s="17">
        <v>3318.8578611665362</v>
      </c>
      <c r="AZ23" s="22">
        <v>0.12</v>
      </c>
      <c r="BA23" s="22">
        <v>0.12</v>
      </c>
      <c r="BB23" s="22">
        <v>0.12</v>
      </c>
      <c r="BE23" s="24"/>
      <c r="BF23" s="24"/>
    </row>
    <row r="24" spans="1:58" ht="18.75" thickBot="1" x14ac:dyDescent="0.4">
      <c r="A24" s="5">
        <v>45235</v>
      </c>
      <c r="B24" s="37">
        <v>0</v>
      </c>
      <c r="C24" s="29">
        <v>0</v>
      </c>
      <c r="D24" s="37">
        <v>0</v>
      </c>
      <c r="E24" s="29">
        <v>0</v>
      </c>
      <c r="F24" s="37">
        <v>0</v>
      </c>
      <c r="G24" s="29">
        <v>0</v>
      </c>
      <c r="H24" s="37">
        <v>0</v>
      </c>
      <c r="I24" s="29">
        <v>0</v>
      </c>
      <c r="J24" s="17">
        <v>0</v>
      </c>
      <c r="K24" s="16">
        <v>0</v>
      </c>
      <c r="L24" s="20">
        <v>0</v>
      </c>
      <c r="M24" s="19">
        <v>26</v>
      </c>
      <c r="N24" s="50">
        <v>0</v>
      </c>
      <c r="O24" s="29">
        <v>0</v>
      </c>
      <c r="P24" s="17">
        <v>0</v>
      </c>
      <c r="Q24" s="20">
        <v>0</v>
      </c>
      <c r="R24" s="42">
        <v>0.2</v>
      </c>
      <c r="S24" s="17">
        <v>60000</v>
      </c>
      <c r="T24" s="42">
        <v>-0.2</v>
      </c>
      <c r="U24" s="17">
        <v>40000</v>
      </c>
      <c r="V24" s="42">
        <v>0.1</v>
      </c>
      <c r="W24" s="42">
        <v>-0.1</v>
      </c>
      <c r="X24" s="29">
        <v>0</v>
      </c>
      <c r="Y24" s="21">
        <v>0</v>
      </c>
      <c r="Z24" s="17">
        <v>0</v>
      </c>
      <c r="AA24" s="17">
        <v>23290.753917848218</v>
      </c>
      <c r="AB24" s="12">
        <v>1</v>
      </c>
      <c r="AC24" s="16">
        <f t="shared" si="0"/>
        <v>2119.6659609717376</v>
      </c>
      <c r="AD24" s="17">
        <v>31038.841317507089</v>
      </c>
      <c r="AE24" s="37"/>
      <c r="AF24" s="23">
        <v>0</v>
      </c>
      <c r="AG24" s="12">
        <v>0.85</v>
      </c>
      <c r="AH24" s="37"/>
      <c r="AI24" s="23">
        <v>0</v>
      </c>
      <c r="AJ24" s="37"/>
      <c r="AK24" s="23">
        <v>0</v>
      </c>
      <c r="AL24" s="17">
        <v>1349.5148398916117</v>
      </c>
      <c r="AM24" s="17">
        <v>54329.595235355308</v>
      </c>
      <c r="AN24" s="17">
        <v>0</v>
      </c>
      <c r="AO24" s="17">
        <v>0</v>
      </c>
      <c r="AP24" s="17">
        <v>30593.689007050754</v>
      </c>
      <c r="AQ24" s="44">
        <v>0</v>
      </c>
      <c r="AR24" s="17">
        <v>0</v>
      </c>
      <c r="AS24" s="17">
        <v>10.147954977868695</v>
      </c>
      <c r="AT24" s="44">
        <v>0</v>
      </c>
      <c r="AU24" s="17">
        <v>0</v>
      </c>
      <c r="AV24" s="17">
        <v>7531.5801946273195</v>
      </c>
      <c r="AW24" s="53">
        <v>546.87555529709334</v>
      </c>
      <c r="AX24" s="17">
        <v>30046.81345175366</v>
      </c>
      <c r="AY24" s="17">
        <v>3318.8578611665362</v>
      </c>
      <c r="AZ24" s="22">
        <v>0.12</v>
      </c>
      <c r="BA24" s="22">
        <v>0.12</v>
      </c>
      <c r="BB24" s="22">
        <v>0.12</v>
      </c>
      <c r="BE24" s="24"/>
      <c r="BF24" s="24"/>
    </row>
    <row r="25" spans="1:58" ht="18.75" thickBot="1" x14ac:dyDescent="0.4">
      <c r="A25" s="5">
        <v>45249</v>
      </c>
      <c r="B25" s="37">
        <v>0</v>
      </c>
      <c r="C25" s="29">
        <v>0</v>
      </c>
      <c r="D25" s="37">
        <v>0</v>
      </c>
      <c r="E25" s="29">
        <v>0</v>
      </c>
      <c r="F25" s="37">
        <v>0</v>
      </c>
      <c r="G25" s="29">
        <v>0</v>
      </c>
      <c r="H25" s="37">
        <v>0</v>
      </c>
      <c r="I25" s="29">
        <v>0</v>
      </c>
      <c r="J25" s="17">
        <v>0</v>
      </c>
      <c r="K25" s="16">
        <v>0</v>
      </c>
      <c r="L25" s="20">
        <v>0</v>
      </c>
      <c r="M25" s="19">
        <v>26</v>
      </c>
      <c r="N25" s="50">
        <v>0</v>
      </c>
      <c r="O25" s="29">
        <v>0</v>
      </c>
      <c r="P25" s="17">
        <v>0</v>
      </c>
      <c r="Q25" s="20">
        <v>0</v>
      </c>
      <c r="R25" s="42">
        <v>0.2</v>
      </c>
      <c r="S25" s="17">
        <v>60000</v>
      </c>
      <c r="T25" s="42">
        <v>-0.2</v>
      </c>
      <c r="U25" s="17">
        <v>40000</v>
      </c>
      <c r="V25" s="42">
        <v>0.1</v>
      </c>
      <c r="W25" s="42">
        <v>-0.1</v>
      </c>
      <c r="X25" s="29">
        <v>0</v>
      </c>
      <c r="Y25" s="21">
        <v>0</v>
      </c>
      <c r="Z25" s="17">
        <v>0</v>
      </c>
      <c r="AA25" s="17">
        <v>23290.753917848218</v>
      </c>
      <c r="AB25" s="12">
        <v>1</v>
      </c>
      <c r="AC25" s="16">
        <f t="shared" si="0"/>
        <v>2119.6659609717376</v>
      </c>
      <c r="AD25" s="17">
        <v>32388.356157398703</v>
      </c>
      <c r="AE25" s="37"/>
      <c r="AF25" s="23">
        <v>0</v>
      </c>
      <c r="AG25" s="12">
        <v>0.85</v>
      </c>
      <c r="AH25" s="37"/>
      <c r="AI25" s="23">
        <v>0</v>
      </c>
      <c r="AJ25" s="37"/>
      <c r="AK25" s="23">
        <v>0</v>
      </c>
      <c r="AL25" s="17">
        <v>1349.5148398916117</v>
      </c>
      <c r="AM25" s="17">
        <v>55679.110075246921</v>
      </c>
      <c r="AN25" s="17">
        <v>0</v>
      </c>
      <c r="AO25" s="17">
        <v>0</v>
      </c>
      <c r="AP25" s="17">
        <v>30593.689007050754</v>
      </c>
      <c r="AQ25" s="44">
        <v>0</v>
      </c>
      <c r="AR25" s="17">
        <v>0</v>
      </c>
      <c r="AS25" s="17">
        <v>10.147954977868695</v>
      </c>
      <c r="AT25" s="44">
        <v>0</v>
      </c>
      <c r="AU25" s="17">
        <v>0</v>
      </c>
      <c r="AV25" s="17">
        <v>7531.5801946273195</v>
      </c>
      <c r="AW25" s="53">
        <v>546.87555529709334</v>
      </c>
      <c r="AX25" s="17">
        <v>30046.81345175366</v>
      </c>
      <c r="AY25" s="17">
        <v>3318.8578611665362</v>
      </c>
      <c r="AZ25" s="22">
        <v>0.12</v>
      </c>
      <c r="BA25" s="22">
        <v>0.12</v>
      </c>
      <c r="BB25" s="22">
        <v>0.12</v>
      </c>
      <c r="BE25" s="24"/>
      <c r="BF25" s="24"/>
    </row>
    <row r="26" spans="1:58" ht="18.75" thickBot="1" x14ac:dyDescent="0.4">
      <c r="A26" s="5">
        <v>45263</v>
      </c>
      <c r="B26" s="37">
        <v>0</v>
      </c>
      <c r="C26" s="29">
        <v>0</v>
      </c>
      <c r="D26" s="37">
        <v>0</v>
      </c>
      <c r="E26" s="29">
        <v>0</v>
      </c>
      <c r="F26" s="37">
        <v>0</v>
      </c>
      <c r="G26" s="29">
        <v>0</v>
      </c>
      <c r="H26" s="37">
        <v>0</v>
      </c>
      <c r="I26" s="29">
        <v>0</v>
      </c>
      <c r="J26" s="17">
        <v>0</v>
      </c>
      <c r="K26" s="16">
        <v>0</v>
      </c>
      <c r="L26" s="20">
        <v>0</v>
      </c>
      <c r="M26" s="19">
        <v>26</v>
      </c>
      <c r="N26" s="50">
        <v>0</v>
      </c>
      <c r="O26" s="29">
        <v>0</v>
      </c>
      <c r="P26" s="17">
        <v>0</v>
      </c>
      <c r="Q26" s="20">
        <v>0</v>
      </c>
      <c r="R26" s="42">
        <v>0.2</v>
      </c>
      <c r="S26" s="17">
        <v>60000</v>
      </c>
      <c r="T26" s="42">
        <v>-0.2</v>
      </c>
      <c r="U26" s="17">
        <v>40000</v>
      </c>
      <c r="V26" s="42">
        <v>0.1</v>
      </c>
      <c r="W26" s="42">
        <v>-0.1</v>
      </c>
      <c r="X26" s="29">
        <v>0</v>
      </c>
      <c r="Y26" s="21">
        <v>0</v>
      </c>
      <c r="Z26" s="17">
        <v>0</v>
      </c>
      <c r="AA26" s="17">
        <v>23290.753917848218</v>
      </c>
      <c r="AB26" s="12">
        <v>1</v>
      </c>
      <c r="AC26" s="16">
        <f t="shared" si="0"/>
        <v>2119.6659609717376</v>
      </c>
      <c r="AD26" s="17">
        <v>33737.870997290316</v>
      </c>
      <c r="AE26" s="37"/>
      <c r="AF26" s="23">
        <v>0</v>
      </c>
      <c r="AG26" s="12">
        <v>0.85</v>
      </c>
      <c r="AH26" s="37"/>
      <c r="AI26" s="23">
        <v>0</v>
      </c>
      <c r="AJ26" s="37"/>
      <c r="AK26" s="23">
        <v>0</v>
      </c>
      <c r="AL26" s="17">
        <v>1349.5148398916117</v>
      </c>
      <c r="AM26" s="17">
        <v>57028.624915138535</v>
      </c>
      <c r="AN26" s="17">
        <v>0</v>
      </c>
      <c r="AO26" s="17">
        <v>0</v>
      </c>
      <c r="AP26" s="17">
        <v>30593.689007050754</v>
      </c>
      <c r="AQ26" s="44">
        <v>0</v>
      </c>
      <c r="AR26" s="17">
        <v>0</v>
      </c>
      <c r="AS26" s="17">
        <v>10.147954977868695</v>
      </c>
      <c r="AT26" s="44">
        <v>0</v>
      </c>
      <c r="AU26" s="17">
        <v>0</v>
      </c>
      <c r="AV26" s="17">
        <v>7531.5801946273195</v>
      </c>
      <c r="AW26" s="53">
        <v>546.87555529709334</v>
      </c>
      <c r="AX26" s="17">
        <v>30046.81345175366</v>
      </c>
      <c r="AY26" s="17">
        <v>3318.8578611665362</v>
      </c>
      <c r="AZ26" s="22">
        <v>0.12</v>
      </c>
      <c r="BA26" s="22">
        <v>0.12</v>
      </c>
      <c r="BB26" s="22">
        <v>0.12</v>
      </c>
      <c r="BE26" s="24"/>
      <c r="BF26" s="24"/>
    </row>
    <row r="27" spans="1:58" ht="18.75" thickBot="1" x14ac:dyDescent="0.4">
      <c r="A27" s="5">
        <v>45277</v>
      </c>
      <c r="B27" s="37">
        <v>0</v>
      </c>
      <c r="C27" s="29">
        <v>0</v>
      </c>
      <c r="D27" s="37">
        <v>0</v>
      </c>
      <c r="E27" s="29">
        <v>0</v>
      </c>
      <c r="F27" s="37">
        <v>0</v>
      </c>
      <c r="G27" s="29">
        <v>0</v>
      </c>
      <c r="H27" s="37">
        <v>0</v>
      </c>
      <c r="I27" s="29">
        <v>0</v>
      </c>
      <c r="J27" s="17">
        <v>0</v>
      </c>
      <c r="K27" s="16">
        <v>0</v>
      </c>
      <c r="L27" s="20">
        <v>0</v>
      </c>
      <c r="M27" s="19">
        <v>26</v>
      </c>
      <c r="N27" s="50">
        <v>0</v>
      </c>
      <c r="O27" s="29">
        <v>0</v>
      </c>
      <c r="P27" s="17">
        <v>0</v>
      </c>
      <c r="Q27" s="20">
        <v>0</v>
      </c>
      <c r="R27" s="42">
        <v>0.2</v>
      </c>
      <c r="S27" s="17">
        <v>60000</v>
      </c>
      <c r="T27" s="42">
        <v>-0.2</v>
      </c>
      <c r="U27" s="17">
        <v>40000</v>
      </c>
      <c r="V27" s="42">
        <v>0.1</v>
      </c>
      <c r="W27" s="42">
        <v>-0.1</v>
      </c>
      <c r="X27" s="29">
        <v>0</v>
      </c>
      <c r="Y27" s="21">
        <v>0</v>
      </c>
      <c r="Z27" s="17">
        <v>0</v>
      </c>
      <c r="AA27" s="17">
        <v>23290.753917848218</v>
      </c>
      <c r="AB27" s="12">
        <v>1</v>
      </c>
      <c r="AC27" s="16">
        <f t="shared" si="0"/>
        <v>2119.6659609717376</v>
      </c>
      <c r="AD27" s="17">
        <v>35087.38583718193</v>
      </c>
      <c r="AE27" s="37"/>
      <c r="AF27" s="23">
        <v>0</v>
      </c>
      <c r="AG27" s="12">
        <v>0.85</v>
      </c>
      <c r="AH27" s="37"/>
      <c r="AI27" s="23">
        <v>0</v>
      </c>
      <c r="AJ27" s="37"/>
      <c r="AK27" s="23">
        <v>0</v>
      </c>
      <c r="AL27" s="17">
        <v>1349.5148398916117</v>
      </c>
      <c r="AM27" s="17">
        <v>58378.139755030148</v>
      </c>
      <c r="AN27" s="17">
        <v>0</v>
      </c>
      <c r="AO27" s="17">
        <v>0</v>
      </c>
      <c r="AP27" s="17">
        <v>30593.689007050754</v>
      </c>
      <c r="AQ27" s="44">
        <v>0</v>
      </c>
      <c r="AR27" s="17">
        <v>0</v>
      </c>
      <c r="AS27" s="17">
        <v>10.147954977868695</v>
      </c>
      <c r="AT27" s="44">
        <v>0</v>
      </c>
      <c r="AU27" s="17">
        <v>0</v>
      </c>
      <c r="AV27" s="17">
        <v>7531.5801946273195</v>
      </c>
      <c r="AW27" s="53">
        <v>546.87555529709334</v>
      </c>
      <c r="AX27" s="17">
        <v>30046.81345175366</v>
      </c>
      <c r="AY27" s="17">
        <v>3318.8578611665362</v>
      </c>
      <c r="AZ27" s="22">
        <v>0.12</v>
      </c>
      <c r="BA27" s="22">
        <v>0.12</v>
      </c>
      <c r="BB27" s="22">
        <v>0.12</v>
      </c>
      <c r="BE27" s="24"/>
      <c r="BF27" s="24"/>
    </row>
    <row r="28" spans="1:58" ht="18.75" thickBot="1" x14ac:dyDescent="0.4">
      <c r="A28" s="5">
        <v>45291</v>
      </c>
      <c r="B28" s="37">
        <v>0</v>
      </c>
      <c r="C28" s="29">
        <v>0</v>
      </c>
      <c r="D28" s="37">
        <v>0</v>
      </c>
      <c r="E28" s="29">
        <v>0</v>
      </c>
      <c r="F28" s="37">
        <v>0</v>
      </c>
      <c r="G28" s="29">
        <v>0</v>
      </c>
      <c r="H28" s="37">
        <v>0</v>
      </c>
      <c r="I28" s="29">
        <v>0</v>
      </c>
      <c r="J28" s="17">
        <v>0</v>
      </c>
      <c r="K28" s="16">
        <v>0</v>
      </c>
      <c r="L28" s="20">
        <v>0</v>
      </c>
      <c r="M28" s="19">
        <v>26</v>
      </c>
      <c r="N28" s="50">
        <v>0</v>
      </c>
      <c r="O28" s="29">
        <v>0</v>
      </c>
      <c r="P28" s="17">
        <v>0</v>
      </c>
      <c r="Q28" s="20">
        <v>0</v>
      </c>
      <c r="R28" s="42">
        <v>0.2</v>
      </c>
      <c r="S28" s="17">
        <v>60000</v>
      </c>
      <c r="T28" s="42">
        <v>-0.2</v>
      </c>
      <c r="U28" s="17">
        <v>40000</v>
      </c>
      <c r="V28" s="42">
        <v>0.1</v>
      </c>
      <c r="W28" s="42">
        <v>-0.1</v>
      </c>
      <c r="X28" s="29">
        <v>0</v>
      </c>
      <c r="Y28" s="21">
        <v>0</v>
      </c>
      <c r="Z28" s="17">
        <v>0</v>
      </c>
      <c r="AA28" s="17">
        <v>23290.753917848218</v>
      </c>
      <c r="AB28" s="12">
        <v>1</v>
      </c>
      <c r="AC28" s="16">
        <f t="shared" si="0"/>
        <v>2119.6659609717376</v>
      </c>
      <c r="AD28" s="17">
        <v>36436.900677073543</v>
      </c>
      <c r="AE28" s="47"/>
      <c r="AF28" s="23">
        <v>0</v>
      </c>
      <c r="AG28" s="12">
        <v>0.85</v>
      </c>
      <c r="AH28" s="47"/>
      <c r="AI28" s="23">
        <v>0</v>
      </c>
      <c r="AJ28" s="47"/>
      <c r="AK28" s="23">
        <v>0</v>
      </c>
      <c r="AL28" s="17">
        <v>1349.5148398916117</v>
      </c>
      <c r="AM28" s="17">
        <v>59727.654594921762</v>
      </c>
      <c r="AN28" s="17">
        <v>0</v>
      </c>
      <c r="AO28" s="17">
        <v>0</v>
      </c>
      <c r="AP28" s="17">
        <v>30593.689007050754</v>
      </c>
      <c r="AQ28" s="44">
        <v>0</v>
      </c>
      <c r="AR28" s="17">
        <v>0</v>
      </c>
      <c r="AS28" s="17">
        <v>10.147954977868695</v>
      </c>
      <c r="AT28" s="44">
        <v>0</v>
      </c>
      <c r="AU28" s="17">
        <v>0</v>
      </c>
      <c r="AV28" s="17">
        <v>7531.5801946273195</v>
      </c>
      <c r="AW28" s="53">
        <v>546.87555529709334</v>
      </c>
      <c r="AX28" s="17">
        <v>30046.81345175366</v>
      </c>
      <c r="AY28" s="17">
        <v>3318.8578611665362</v>
      </c>
      <c r="AZ28" s="22">
        <v>0.12</v>
      </c>
      <c r="BA28" s="22">
        <v>0.12</v>
      </c>
      <c r="BB28" s="22">
        <v>0.12</v>
      </c>
      <c r="BE28" s="24"/>
      <c r="BF28" s="24"/>
    </row>
    <row r="29" spans="1:58" ht="18.75" thickBot="1" x14ac:dyDescent="0.4">
      <c r="A29" s="51" t="s">
        <v>13</v>
      </c>
      <c r="Y29" s="32">
        <v>2.1513583913517802E-2</v>
      </c>
      <c r="Z29" s="31">
        <v>23290.753917848218</v>
      </c>
      <c r="AC29" s="27">
        <f>SUM(AC2:AC28)</f>
        <v>57230.980946236938</v>
      </c>
      <c r="AE29" s="31">
        <v>0</v>
      </c>
      <c r="AH29" s="31">
        <v>0</v>
      </c>
      <c r="AJ29" s="31">
        <v>0</v>
      </c>
      <c r="AL29" s="27">
        <v>59727.654594921762</v>
      </c>
      <c r="AO29" s="27">
        <v>30593.689007050754</v>
      </c>
      <c r="AR29" s="27">
        <v>10.147954977868695</v>
      </c>
      <c r="AU29" s="31">
        <v>7531.5801946273195</v>
      </c>
      <c r="AW29" s="31">
        <v>14218.764437724427</v>
      </c>
      <c r="BE29" s="24"/>
      <c r="BF29" s="24"/>
    </row>
    <row r="30" spans="1:58" ht="17.25" thickBot="1" x14ac:dyDescent="0.35">
      <c r="BE30" s="24"/>
      <c r="BF30" s="24"/>
    </row>
    <row r="31" spans="1:58" ht="36.75" thickBot="1" x14ac:dyDescent="0.4">
      <c r="J31" s="65" t="s">
        <v>83</v>
      </c>
      <c r="BE31" s="24"/>
      <c r="BF31" s="24"/>
    </row>
    <row r="32" spans="1:58" ht="18.75" thickBot="1" x14ac:dyDescent="0.4">
      <c r="D32" s="57"/>
      <c r="F32" s="57"/>
      <c r="H32" s="57"/>
      <c r="J32" s="66">
        <v>1000000</v>
      </c>
      <c r="AC32" s="60" t="s">
        <v>86</v>
      </c>
      <c r="AD32" s="61"/>
      <c r="BE32" s="24"/>
      <c r="BF32" s="24"/>
    </row>
    <row r="33" spans="4:58" ht="18.75" thickBot="1" x14ac:dyDescent="0.4">
      <c r="D33" s="57"/>
      <c r="F33" s="57"/>
      <c r="H33" s="57"/>
      <c r="J33" s="64">
        <v>1</v>
      </c>
      <c r="K33" s="64" t="s">
        <v>84</v>
      </c>
      <c r="AA33" s="28"/>
      <c r="AC33" s="59">
        <v>55111.314985265177</v>
      </c>
      <c r="AD33" s="62">
        <v>44927</v>
      </c>
      <c r="BE33" s="24"/>
      <c r="BF33" s="24"/>
    </row>
    <row r="34" spans="4:58" ht="18.75" thickBot="1" x14ac:dyDescent="0.4">
      <c r="D34" s="57"/>
      <c r="F34" s="57"/>
      <c r="J34" s="64">
        <v>1</v>
      </c>
      <c r="K34" s="64" t="s">
        <v>85</v>
      </c>
      <c r="AC34" s="16">
        <v>68354.785111376739</v>
      </c>
      <c r="AD34" s="63">
        <v>45067</v>
      </c>
      <c r="BE34" s="24"/>
      <c r="BF34" s="24"/>
    </row>
    <row r="35" spans="4:58" ht="18" x14ac:dyDescent="0.35">
      <c r="D35" s="57"/>
      <c r="H35" s="57"/>
      <c r="AC35" s="16"/>
      <c r="AD35" s="63"/>
      <c r="BE35" s="24"/>
      <c r="BF35" s="24"/>
    </row>
    <row r="36" spans="4:58" ht="18" x14ac:dyDescent="0.35">
      <c r="D36" s="57"/>
      <c r="AC36" s="16"/>
      <c r="AD36" s="63"/>
      <c r="BE36" s="24"/>
      <c r="BF36" s="24"/>
    </row>
    <row r="37" spans="4:58" ht="18" x14ac:dyDescent="0.35">
      <c r="AC37" s="16"/>
      <c r="AD37" s="63"/>
      <c r="BE37" s="24"/>
      <c r="BF37" s="24"/>
    </row>
    <row r="38" spans="4:58" ht="18" x14ac:dyDescent="0.35">
      <c r="AC38" s="16"/>
      <c r="AD38" s="63"/>
      <c r="BE38" s="24"/>
      <c r="BF38" s="24"/>
    </row>
    <row r="39" spans="4:58" x14ac:dyDescent="0.3">
      <c r="BE39" s="24"/>
      <c r="BF39" s="24"/>
    </row>
    <row r="40" spans="4:58" x14ac:dyDescent="0.3">
      <c r="BE40" s="24"/>
      <c r="BF40" s="24"/>
    </row>
    <row r="41" spans="4:58" x14ac:dyDescent="0.3">
      <c r="BE41" s="24"/>
      <c r="BF41" s="24"/>
    </row>
    <row r="42" spans="4:58" x14ac:dyDescent="0.3">
      <c r="BE42" s="24"/>
      <c r="BF42" s="24"/>
    </row>
    <row r="43" spans="4:58" x14ac:dyDescent="0.3">
      <c r="BE43" s="24"/>
      <c r="BF43" s="24"/>
    </row>
    <row r="44" spans="4:58" x14ac:dyDescent="0.3">
      <c r="BE44" s="24"/>
      <c r="BF44" s="24"/>
    </row>
    <row r="45" spans="4:58" x14ac:dyDescent="0.3">
      <c r="BE45" s="24"/>
      <c r="BF45" s="24"/>
    </row>
    <row r="46" spans="4:58" x14ac:dyDescent="0.3">
      <c r="BE46" s="24"/>
      <c r="BF46" s="24"/>
    </row>
    <row r="47" spans="4:58" x14ac:dyDescent="0.3">
      <c r="BE47" s="24"/>
      <c r="BF47" s="24"/>
    </row>
    <row r="48" spans="4:58" x14ac:dyDescent="0.3">
      <c r="BE48" s="24"/>
      <c r="BF48" s="24"/>
    </row>
    <row r="49" spans="2:58" x14ac:dyDescent="0.3">
      <c r="BE49" s="24"/>
      <c r="BF49" s="24"/>
    </row>
    <row r="50" spans="2:58" x14ac:dyDescent="0.3">
      <c r="BE50" s="24"/>
      <c r="BF50" s="24"/>
    </row>
    <row r="51" spans="2:58" x14ac:dyDescent="0.3">
      <c r="BE51" s="24"/>
      <c r="BF51" s="24"/>
    </row>
    <row r="52" spans="2:58" x14ac:dyDescent="0.3">
      <c r="BE52" s="24"/>
      <c r="BF52" s="24"/>
    </row>
    <row r="53" spans="2:58" x14ac:dyDescent="0.3">
      <c r="BE53" s="24"/>
      <c r="BF53" s="24"/>
    </row>
    <row r="54" spans="2:58" x14ac:dyDescent="0.3">
      <c r="BE54" s="24"/>
      <c r="BF54" s="24"/>
    </row>
    <row r="55" spans="2:58" x14ac:dyDescent="0.3">
      <c r="BE55" s="24"/>
      <c r="BF55" s="24"/>
    </row>
    <row r="56" spans="2:58" ht="18" x14ac:dyDescent="0.35">
      <c r="B56" s="67" t="s">
        <v>87</v>
      </c>
      <c r="J56" s="67" t="s">
        <v>88</v>
      </c>
      <c r="S56" s="67" t="s">
        <v>89</v>
      </c>
      <c r="BE56" s="24"/>
      <c r="BF56" s="24"/>
    </row>
    <row r="57" spans="2:58" x14ac:dyDescent="0.3">
      <c r="BE57" s="24"/>
      <c r="BF57" s="24"/>
    </row>
    <row r="58" spans="2:58" x14ac:dyDescent="0.3">
      <c r="BE58" s="24"/>
      <c r="BF58" s="24"/>
    </row>
    <row r="59" spans="2:58" x14ac:dyDescent="0.3">
      <c r="BE59" s="24"/>
      <c r="BF59" s="24"/>
    </row>
    <row r="60" spans="2:58" x14ac:dyDescent="0.3">
      <c r="BE60" s="24"/>
      <c r="BF60" s="24"/>
    </row>
    <row r="61" spans="2:58" x14ac:dyDescent="0.3">
      <c r="BE61" s="24"/>
      <c r="BF61" s="24"/>
    </row>
    <row r="62" spans="2:58" x14ac:dyDescent="0.3">
      <c r="BE62" s="24"/>
      <c r="BF62" s="24"/>
    </row>
    <row r="63" spans="2:58" x14ac:dyDescent="0.3">
      <c r="BE63" s="24"/>
      <c r="BF63" s="24"/>
    </row>
    <row r="64" spans="2:58" x14ac:dyDescent="0.3">
      <c r="BE64" s="24"/>
      <c r="BF64" s="24"/>
    </row>
    <row r="65" spans="57:58" x14ac:dyDescent="0.3">
      <c r="BE65" s="24"/>
      <c r="BF65" s="24"/>
    </row>
    <row r="66" spans="57:58" x14ac:dyDescent="0.3">
      <c r="BE66" s="24"/>
      <c r="BF66" s="24"/>
    </row>
    <row r="67" spans="57:58" x14ac:dyDescent="0.3">
      <c r="BE67" s="24"/>
      <c r="BF67" s="24"/>
    </row>
    <row r="68" spans="57:58" x14ac:dyDescent="0.3">
      <c r="BE68" s="24"/>
      <c r="BF68" s="24"/>
    </row>
    <row r="69" spans="57:58" x14ac:dyDescent="0.3">
      <c r="BE69" s="24"/>
      <c r="BF69" s="24"/>
    </row>
    <row r="70" spans="57:58" x14ac:dyDescent="0.3">
      <c r="BE70" s="24"/>
      <c r="BF70" s="24"/>
    </row>
    <row r="71" spans="57:58" x14ac:dyDescent="0.3">
      <c r="BE71" s="24"/>
      <c r="BF71" s="24"/>
    </row>
    <row r="72" spans="57:58" x14ac:dyDescent="0.3">
      <c r="BE72" s="24"/>
      <c r="BF72" s="24"/>
    </row>
    <row r="73" spans="57:58" x14ac:dyDescent="0.3">
      <c r="BE73" s="24"/>
      <c r="BF73" s="24"/>
    </row>
    <row r="74" spans="57:58" x14ac:dyDescent="0.3">
      <c r="BE74" s="24"/>
      <c r="BF74" s="24"/>
    </row>
    <row r="75" spans="57:58" x14ac:dyDescent="0.3">
      <c r="BE75" s="24"/>
      <c r="BF75" s="24"/>
    </row>
    <row r="76" spans="57:58" x14ac:dyDescent="0.3">
      <c r="BE76" s="24"/>
      <c r="BF76" s="24"/>
    </row>
    <row r="77" spans="57:58" x14ac:dyDescent="0.3">
      <c r="BE77" s="24"/>
      <c r="BF77" s="24"/>
    </row>
    <row r="78" spans="57:58" x14ac:dyDescent="0.3">
      <c r="BE78" s="24"/>
      <c r="BF78" s="24"/>
    </row>
    <row r="79" spans="57:58" x14ac:dyDescent="0.3">
      <c r="BE79" s="24"/>
      <c r="BF79" s="24"/>
    </row>
    <row r="80" spans="57:58" x14ac:dyDescent="0.3">
      <c r="BE80" s="24"/>
      <c r="BF80" s="24"/>
    </row>
    <row r="81" spans="57:58" x14ac:dyDescent="0.3">
      <c r="BE81" s="24"/>
      <c r="BF81" s="24"/>
    </row>
    <row r="82" spans="57:58" x14ac:dyDescent="0.3">
      <c r="BE82" s="24"/>
      <c r="BF82" s="24"/>
    </row>
    <row r="83" spans="57:58" x14ac:dyDescent="0.3">
      <c r="BE83" s="24"/>
      <c r="BF83" s="24"/>
    </row>
  </sheetData>
  <conditionalFormatting sqref="BA2:BB28">
    <cfRule type="cellIs" dxfId="3" priority="1" operator="greaterThan">
      <formula>$AZ$2</formula>
    </cfRule>
    <cfRule type="cellIs" dxfId="2" priority="2" operator="greaterThan">
      <formula>"2$AS$2"</formula>
    </cfRule>
  </conditionalFormatting>
  <pageMargins left="0.75" right="0.75" top="0.75" bottom="0.5" header="0.5" footer="0.75"/>
  <pageSetup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1D4A3-53CB-4332-B330-E010DB8314FE}">
  <sheetPr>
    <tabColor theme="9"/>
  </sheetPr>
  <dimension ref="A1:BF58"/>
  <sheetViews>
    <sheetView workbookViewId="0">
      <selection activeCell="X2" sqref="X2"/>
    </sheetView>
  </sheetViews>
  <sheetFormatPr defaultColWidth="13.28515625" defaultRowHeight="16.5" x14ac:dyDescent="0.3"/>
  <cols>
    <col min="1" max="1" width="14" style="1" bestFit="1" customWidth="1"/>
    <col min="2" max="2" width="16.85546875" style="24" bestFit="1" customWidth="1"/>
    <col min="3" max="3" width="10.42578125" style="24" bestFit="1" customWidth="1"/>
    <col min="4" max="4" width="16.85546875" style="24" bestFit="1" customWidth="1"/>
    <col min="5" max="5" width="10.7109375" style="24" bestFit="1" customWidth="1"/>
    <col min="6" max="6" width="19.28515625" style="24" bestFit="1" customWidth="1"/>
    <col min="7" max="7" width="15.7109375" style="24" bestFit="1" customWidth="1"/>
    <col min="8" max="8" width="16.85546875" style="24" bestFit="1" customWidth="1"/>
    <col min="9" max="9" width="9.140625" style="24" bestFit="1" customWidth="1"/>
    <col min="10" max="10" width="19.42578125" style="24" customWidth="1"/>
    <col min="11" max="11" width="16.5703125" style="24" customWidth="1"/>
    <col min="12" max="12" width="9.140625" style="24" bestFit="1" customWidth="1"/>
    <col min="13" max="13" width="8.5703125" style="24" bestFit="1" customWidth="1"/>
    <col min="14" max="14" width="7.85546875" style="24" bestFit="1" customWidth="1"/>
    <col min="15" max="15" width="13" style="24" bestFit="1" customWidth="1"/>
    <col min="16" max="16" width="16.85546875" style="24" bestFit="1" customWidth="1"/>
    <col min="17" max="17" width="13" style="24" customWidth="1"/>
    <col min="18" max="18" width="9.140625" style="24" bestFit="1" customWidth="1"/>
    <col min="19" max="19" width="16.85546875" style="24" bestFit="1" customWidth="1"/>
    <col min="20" max="20" width="10.42578125" style="24" bestFit="1" customWidth="1"/>
    <col min="21" max="21" width="15.5703125" style="24" bestFit="1" customWidth="1"/>
    <col min="22" max="22" width="11.140625" style="24" customWidth="1"/>
    <col min="23" max="23" width="11" style="24" bestFit="1" customWidth="1"/>
    <col min="24" max="25" width="13.140625" style="24" bestFit="1" customWidth="1"/>
    <col min="26" max="27" width="16.85546875" style="24" bestFit="1" customWidth="1"/>
    <col min="28" max="28" width="10.5703125" style="24" customWidth="1"/>
    <col min="29" max="30" width="16.85546875" style="24" bestFit="1" customWidth="1"/>
    <col min="31" max="32" width="9.85546875" style="24" bestFit="1" customWidth="1"/>
    <col min="33" max="33" width="10.5703125" style="24" customWidth="1"/>
    <col min="34" max="35" width="11.85546875" style="24" bestFit="1" customWidth="1"/>
    <col min="36" max="37" width="9.28515625" style="24" bestFit="1" customWidth="1"/>
    <col min="38" max="42" width="16.85546875" style="24" bestFit="1" customWidth="1"/>
    <col min="43" max="43" width="7.7109375" style="24" bestFit="1" customWidth="1"/>
    <col min="44" max="45" width="14.28515625" style="24" bestFit="1" customWidth="1"/>
    <col min="46" max="46" width="8" style="24" customWidth="1"/>
    <col min="47" max="47" width="15.5703125" style="24" customWidth="1"/>
    <col min="48" max="49" width="15.5703125" style="24" bestFit="1" customWidth="1"/>
    <col min="50" max="50" width="16.85546875" style="24" bestFit="1" customWidth="1"/>
    <col min="51" max="51" width="16.42578125" style="24" bestFit="1" customWidth="1"/>
    <col min="52" max="52" width="8.140625" style="24" bestFit="1" customWidth="1"/>
    <col min="53" max="54" width="5.5703125" style="24" bestFit="1" customWidth="1"/>
    <col min="55" max="55" width="13.28515625" style="24"/>
    <col min="56" max="56" width="6" style="24" bestFit="1" customWidth="1"/>
    <col min="57" max="57" width="15.7109375" style="24" bestFit="1" customWidth="1"/>
    <col min="58" max="58" width="18.7109375" style="24" bestFit="1" customWidth="1"/>
    <col min="59" max="59" width="23.85546875" style="1" bestFit="1" customWidth="1"/>
    <col min="60" max="16384" width="13.28515625" style="1"/>
  </cols>
  <sheetData>
    <row r="1" spans="1:58" s="2" customFormat="1" ht="54.75" thickBot="1" x14ac:dyDescent="0.35">
      <c r="A1" s="3" t="s">
        <v>5</v>
      </c>
      <c r="B1" s="3" t="s">
        <v>1</v>
      </c>
      <c r="C1" s="3" t="s">
        <v>1</v>
      </c>
      <c r="D1" s="3" t="s">
        <v>4</v>
      </c>
      <c r="E1" s="3" t="s">
        <v>4</v>
      </c>
      <c r="F1" s="3" t="s">
        <v>3</v>
      </c>
      <c r="G1" s="3" t="s">
        <v>3</v>
      </c>
      <c r="H1" s="3" t="s">
        <v>0</v>
      </c>
      <c r="I1" s="3" t="s">
        <v>0</v>
      </c>
      <c r="J1" s="3" t="s">
        <v>9</v>
      </c>
      <c r="K1" s="3" t="s">
        <v>11</v>
      </c>
      <c r="L1" s="3" t="s">
        <v>11</v>
      </c>
      <c r="M1" s="3" t="s">
        <v>31</v>
      </c>
      <c r="N1" s="3" t="s">
        <v>24</v>
      </c>
      <c r="O1" s="39" t="s">
        <v>15</v>
      </c>
      <c r="P1" s="3" t="s">
        <v>15</v>
      </c>
      <c r="Q1" s="3" t="s">
        <v>28</v>
      </c>
      <c r="R1" s="3" t="s">
        <v>16</v>
      </c>
      <c r="S1" s="3" t="s">
        <v>16</v>
      </c>
      <c r="T1" s="3" t="s">
        <v>17</v>
      </c>
      <c r="U1" s="3" t="s">
        <v>19</v>
      </c>
      <c r="V1" s="3" t="s">
        <v>30</v>
      </c>
      <c r="W1" s="3" t="s">
        <v>29</v>
      </c>
      <c r="X1" s="3" t="s">
        <v>18</v>
      </c>
      <c r="Y1" s="3" t="s">
        <v>32</v>
      </c>
      <c r="Z1" s="3" t="s">
        <v>10</v>
      </c>
      <c r="AA1" s="3" t="s">
        <v>27</v>
      </c>
      <c r="AB1" s="3" t="s">
        <v>80</v>
      </c>
      <c r="AC1" s="3" t="s">
        <v>2</v>
      </c>
      <c r="AD1" s="3" t="s">
        <v>25</v>
      </c>
      <c r="AE1" s="3" t="s">
        <v>8</v>
      </c>
      <c r="AF1" s="3" t="s">
        <v>35</v>
      </c>
      <c r="AG1" s="3" t="s">
        <v>81</v>
      </c>
      <c r="AH1" s="3" t="s">
        <v>12</v>
      </c>
      <c r="AI1" s="3" t="s">
        <v>36</v>
      </c>
      <c r="AJ1" s="3" t="s">
        <v>37</v>
      </c>
      <c r="AK1" s="3" t="s">
        <v>37</v>
      </c>
      <c r="AL1" s="3" t="s">
        <v>64</v>
      </c>
      <c r="AM1" s="3" t="s">
        <v>33</v>
      </c>
      <c r="AN1" s="3" t="s">
        <v>82</v>
      </c>
      <c r="AO1" s="3" t="s">
        <v>79</v>
      </c>
      <c r="AP1" s="3" t="s">
        <v>78</v>
      </c>
      <c r="AQ1" s="3" t="s">
        <v>7</v>
      </c>
      <c r="AR1" s="3" t="s">
        <v>7</v>
      </c>
      <c r="AS1" s="3" t="s">
        <v>26</v>
      </c>
      <c r="AT1" s="3" t="s">
        <v>39</v>
      </c>
      <c r="AU1" s="3" t="s">
        <v>39</v>
      </c>
      <c r="AV1" s="3" t="s">
        <v>40</v>
      </c>
      <c r="AW1" s="3" t="s">
        <v>38</v>
      </c>
      <c r="AX1" s="3" t="s">
        <v>34</v>
      </c>
      <c r="AY1" s="3" t="s">
        <v>63</v>
      </c>
      <c r="AZ1" s="3" t="s">
        <v>6</v>
      </c>
      <c r="BA1" s="3" t="s">
        <v>22</v>
      </c>
      <c r="BB1" s="3" t="s">
        <v>23</v>
      </c>
      <c r="BC1" s="6"/>
      <c r="BD1" s="3" t="s">
        <v>14</v>
      </c>
      <c r="BE1" s="3" t="s">
        <v>20</v>
      </c>
      <c r="BF1" s="3" t="s">
        <v>21</v>
      </c>
    </row>
    <row r="2" spans="1:58" s="4" customFormat="1" ht="18.75" thickBot="1" x14ac:dyDescent="0.4">
      <c r="A2" s="34">
        <v>45292</v>
      </c>
      <c r="B2" s="37">
        <f t="shared" ref="B2:B13" si="0">0*$J$34</f>
        <v>0</v>
      </c>
      <c r="C2" s="30">
        <f>IF(J2&lt;=0,0,B2/J2)</f>
        <v>0</v>
      </c>
      <c r="D2" s="37">
        <f t="shared" ref="D2:D12" si="1">0*$J$34</f>
        <v>0</v>
      </c>
      <c r="E2" s="30">
        <f>IF(J2&lt;=0,0,D2/J2)</f>
        <v>0</v>
      </c>
      <c r="F2" s="37">
        <f t="shared" ref="F2:F12" si="2">0*$J$34</f>
        <v>0</v>
      </c>
      <c r="G2" s="30">
        <f>IF(J2&lt;=0,0,F2/J2)</f>
        <v>0</v>
      </c>
      <c r="H2" s="37">
        <f t="shared" ref="H2:H12" si="3">0*$J$34</f>
        <v>0</v>
      </c>
      <c r="I2" s="30">
        <f>IF(J2&lt;=0,0,H2/J2)</f>
        <v>0</v>
      </c>
      <c r="J2" s="9">
        <f>B2+D2+F2+H2</f>
        <v>0</v>
      </c>
      <c r="K2" s="7">
        <v>0</v>
      </c>
      <c r="L2" s="8">
        <v>0</v>
      </c>
      <c r="M2" s="48">
        <v>26</v>
      </c>
      <c r="N2" s="50">
        <v>0</v>
      </c>
      <c r="O2" s="40">
        <v>5.208417704914671E-2</v>
      </c>
      <c r="P2" s="9">
        <f t="shared" ref="P2:P28" si="4">J2*O2</f>
        <v>0</v>
      </c>
      <c r="Q2" s="8">
        <v>0</v>
      </c>
      <c r="R2" s="41">
        <v>0.2</v>
      </c>
      <c r="S2" s="9" t="b">
        <f>IF($P$2&gt;0,$P$2+$P$2*R2)</f>
        <v>0</v>
      </c>
      <c r="T2" s="41">
        <v>-0.2</v>
      </c>
      <c r="U2" s="9" t="b">
        <f>IF($P$2&gt;0,$P$2+$P$2*T2)</f>
        <v>0</v>
      </c>
      <c r="V2" s="41">
        <v>0.1</v>
      </c>
      <c r="W2" s="41">
        <v>-0.1</v>
      </c>
      <c r="X2" s="30">
        <f>O2</f>
        <v>5.208417704914671E-2</v>
      </c>
      <c r="Y2" s="11">
        <f t="shared" ref="Y2:Y28" si="5">X2/M2</f>
        <v>2.0032375788133351E-3</v>
      </c>
      <c r="Z2" s="9">
        <f t="shared" ref="Z2:Z28" si="6">Y2*J2</f>
        <v>0</v>
      </c>
      <c r="AA2" s="9">
        <f>Z2</f>
        <v>0</v>
      </c>
      <c r="AB2" s="12">
        <v>1</v>
      </c>
      <c r="AC2" s="36">
        <f>AC33/M2*$J$34</f>
        <v>0</v>
      </c>
      <c r="AD2" s="9">
        <f>AC2</f>
        <v>0</v>
      </c>
      <c r="AE2" s="36"/>
      <c r="AF2" s="13">
        <f>AE2</f>
        <v>0</v>
      </c>
      <c r="AG2" s="12">
        <v>0.85</v>
      </c>
      <c r="AH2" s="36"/>
      <c r="AI2" s="13">
        <f>AH2</f>
        <v>0</v>
      </c>
      <c r="AJ2" s="36"/>
      <c r="AK2" s="13">
        <f>AJ2</f>
        <v>0</v>
      </c>
      <c r="AL2" s="9">
        <f>Z2+AC2+AE2+AH2+AJ2</f>
        <v>0</v>
      </c>
      <c r="AM2" s="9">
        <f>AL2</f>
        <v>0</v>
      </c>
      <c r="AN2" s="9">
        <v>0</v>
      </c>
      <c r="AO2" s="9">
        <f>0*$J$34</f>
        <v>0</v>
      </c>
      <c r="AP2" s="9">
        <f>AO2</f>
        <v>0</v>
      </c>
      <c r="AQ2" s="43">
        <v>0</v>
      </c>
      <c r="AR2" s="9">
        <f t="shared" ref="AR2:AR28" si="7">(AL2-AO2)*AQ2</f>
        <v>0</v>
      </c>
      <c r="AS2" s="9">
        <f>AR2</f>
        <v>0</v>
      </c>
      <c r="AT2" s="43">
        <v>0</v>
      </c>
      <c r="AU2" s="9">
        <f t="shared" ref="AU2:AU28" si="8">(AL2-AO2)*AT2</f>
        <v>0</v>
      </c>
      <c r="AV2" s="9">
        <f>AU2</f>
        <v>0</v>
      </c>
      <c r="AW2" s="53">
        <f t="shared" ref="AW2:AW28" si="9">$AW$29/M2</f>
        <v>0</v>
      </c>
      <c r="AX2" s="9">
        <f t="shared" ref="AX2:AX28" si="10">AP2-AW2</f>
        <v>0</v>
      </c>
      <c r="AY2" s="9">
        <f>AO2*BA2</f>
        <v>0</v>
      </c>
      <c r="AZ2" s="43">
        <v>0.12</v>
      </c>
      <c r="BA2" s="12">
        <f t="shared" ref="BA2:BA28" si="11">IF(AX2&lt;$BE$2,0,IF(AX2&lt;$BE$3,$BD$2,IF(AX2&lt;$BE$4,$BD$3,IF(AX2&lt;$BE$5,$BD$4,IF(AX2&lt;$BE$6,$BD$5,IF(AX2&lt;$BE$7,$BD$6,IF(AX2&lt;$BE$8,$BD$7,$BD$8)))))))</f>
        <v>0.1</v>
      </c>
      <c r="BB2" s="12">
        <f t="shared" ref="BB2:BB28" si="12">IF(AX2&lt;$BF$2,0,IF(AX2&lt;$BF$3,$BD$2,IF(AX2&lt;$BF$4,$BD$3,IF(AX2&lt;$BF$5,$BD$4,IF(AX2&lt;$BF$6,$BD$5,IF(AX2&lt;$BF$7,$BD$6,IF(AX2&lt;$BF$8,$BD$7,$BD$8)))))))</f>
        <v>0.1</v>
      </c>
      <c r="BC2" s="14"/>
      <c r="BD2" s="12">
        <v>0.1</v>
      </c>
      <c r="BE2" s="15">
        <v>0</v>
      </c>
      <c r="BF2" s="15">
        <v>0</v>
      </c>
    </row>
    <row r="3" spans="1:58" ht="18.75" thickBot="1" x14ac:dyDescent="0.4">
      <c r="A3" s="5">
        <f>A2+FLOOR(365/$M$2,1)</f>
        <v>45306</v>
      </c>
      <c r="B3" s="37">
        <f t="shared" si="0"/>
        <v>0</v>
      </c>
      <c r="C3" s="29">
        <f t="shared" ref="C3:C28" si="13">IF(J3&lt;=0,0,B3/J3)</f>
        <v>0</v>
      </c>
      <c r="D3" s="37">
        <f t="shared" si="1"/>
        <v>0</v>
      </c>
      <c r="E3" s="29">
        <f t="shared" ref="E3:E28" si="14">IF(J3&lt;=0,0,D3/J3)</f>
        <v>0</v>
      </c>
      <c r="F3" s="37">
        <f t="shared" si="2"/>
        <v>0</v>
      </c>
      <c r="G3" s="29">
        <f t="shared" ref="G3:G28" si="15">IF(J3&lt;=0,0,F3/J3)</f>
        <v>0</v>
      </c>
      <c r="H3" s="37">
        <f t="shared" si="3"/>
        <v>0</v>
      </c>
      <c r="I3" s="29">
        <f t="shared" ref="I3:I28" si="16">IF(J3&lt;=0,0,H3/J3)</f>
        <v>0</v>
      </c>
      <c r="J3" s="17">
        <f>B3+D3+F3+H3</f>
        <v>0</v>
      </c>
      <c r="K3" s="16">
        <f>IF(J3=0,0,J3-J2)</f>
        <v>0</v>
      </c>
      <c r="L3" s="20">
        <f>IF(J3=0,0,K3/J2)</f>
        <v>0</v>
      </c>
      <c r="M3" s="19">
        <f>M2</f>
        <v>26</v>
      </c>
      <c r="N3" s="50">
        <v>0</v>
      </c>
      <c r="O3" s="29">
        <f>IF(J3=0,0,X2*(1+N3))</f>
        <v>0</v>
      </c>
      <c r="P3" s="17">
        <f t="shared" si="4"/>
        <v>0</v>
      </c>
      <c r="Q3" s="20">
        <f>IF(P3=0,0,(P3-P2)/P2)</f>
        <v>0</v>
      </c>
      <c r="R3" s="42">
        <f>R2</f>
        <v>0.2</v>
      </c>
      <c r="S3" s="17" t="b">
        <f t="shared" ref="S3:U28" si="17">IF($P$2&gt;0,$P$2+$P$2*R3)</f>
        <v>0</v>
      </c>
      <c r="T3" s="42">
        <f>T2</f>
        <v>-0.2</v>
      </c>
      <c r="U3" s="17" t="b">
        <f t="shared" si="17"/>
        <v>0</v>
      </c>
      <c r="V3" s="42">
        <f>V2</f>
        <v>0.1</v>
      </c>
      <c r="W3" s="42">
        <f>W2</f>
        <v>-0.1</v>
      </c>
      <c r="X3" s="29">
        <f>IF(P3&gt;S3,O3+O3*V3,IF(P3&lt;U3,O3+O3*W3,O3))</f>
        <v>0</v>
      </c>
      <c r="Y3" s="21">
        <f t="shared" si="5"/>
        <v>0</v>
      </c>
      <c r="Z3" s="17">
        <f t="shared" si="6"/>
        <v>0</v>
      </c>
      <c r="AA3" s="17">
        <f>AA2+Z3</f>
        <v>0</v>
      </c>
      <c r="AB3" s="12">
        <v>1</v>
      </c>
      <c r="AC3" s="16">
        <f>AC2</f>
        <v>0</v>
      </c>
      <c r="AD3" s="17">
        <f>AD2+AC3</f>
        <v>0</v>
      </c>
      <c r="AE3" s="37"/>
      <c r="AF3" s="23">
        <f>AF2+AE3</f>
        <v>0</v>
      </c>
      <c r="AG3" s="12">
        <v>0.85</v>
      </c>
      <c r="AH3" s="37"/>
      <c r="AI3" s="23">
        <f>AI2+AH3</f>
        <v>0</v>
      </c>
      <c r="AJ3" s="37"/>
      <c r="AK3" s="23">
        <f>AK2+AJ3</f>
        <v>0</v>
      </c>
      <c r="AL3" s="17">
        <f>Z3+AC3+AE3+AH3+AJ3</f>
        <v>0</v>
      </c>
      <c r="AM3" s="17">
        <f>AM2+AL3</f>
        <v>0</v>
      </c>
      <c r="AN3" s="17">
        <v>0</v>
      </c>
      <c r="AO3" s="17">
        <f t="shared" ref="AO3:AO12" si="18">0*$J$34</f>
        <v>0</v>
      </c>
      <c r="AP3" s="17">
        <f>AP2+AO3</f>
        <v>0</v>
      </c>
      <c r="AQ3" s="44">
        <v>0</v>
      </c>
      <c r="AR3" s="17">
        <f t="shared" si="7"/>
        <v>0</v>
      </c>
      <c r="AS3" s="17">
        <f>AS2+AR3</f>
        <v>0</v>
      </c>
      <c r="AT3" s="44">
        <v>0</v>
      </c>
      <c r="AU3" s="17">
        <f t="shared" si="8"/>
        <v>0</v>
      </c>
      <c r="AV3" s="17">
        <f>AV2+AU3</f>
        <v>0</v>
      </c>
      <c r="AW3" s="53">
        <f t="shared" si="9"/>
        <v>0</v>
      </c>
      <c r="AX3" s="17">
        <f t="shared" si="10"/>
        <v>0</v>
      </c>
      <c r="AY3" s="17">
        <f>AY2+(AO3*BA3)</f>
        <v>0</v>
      </c>
      <c r="AZ3" s="22">
        <f>AZ2</f>
        <v>0.12</v>
      </c>
      <c r="BA3" s="22">
        <f t="shared" si="11"/>
        <v>0.1</v>
      </c>
      <c r="BB3" s="22">
        <f t="shared" si="12"/>
        <v>0.1</v>
      </c>
      <c r="BD3" s="22">
        <v>0.12</v>
      </c>
      <c r="BE3" s="25">
        <v>22000</v>
      </c>
      <c r="BF3" s="25">
        <v>11000</v>
      </c>
    </row>
    <row r="4" spans="1:58" ht="18.75" thickBot="1" x14ac:dyDescent="0.4">
      <c r="A4" s="5">
        <f t="shared" ref="A4:A28" si="19">A3+FLOOR(365/$M$2,1)</f>
        <v>45320</v>
      </c>
      <c r="B4" s="37">
        <f t="shared" si="0"/>
        <v>0</v>
      </c>
      <c r="C4" s="29">
        <f t="shared" si="13"/>
        <v>0</v>
      </c>
      <c r="D4" s="37">
        <f t="shared" si="1"/>
        <v>0</v>
      </c>
      <c r="E4" s="29">
        <f t="shared" si="14"/>
        <v>0</v>
      </c>
      <c r="F4" s="37">
        <f t="shared" si="2"/>
        <v>0</v>
      </c>
      <c r="G4" s="29">
        <f t="shared" si="15"/>
        <v>0</v>
      </c>
      <c r="H4" s="37">
        <f t="shared" si="3"/>
        <v>0</v>
      </c>
      <c r="I4" s="29">
        <f t="shared" si="16"/>
        <v>0</v>
      </c>
      <c r="J4" s="17">
        <f>B4+D4+F4+H4</f>
        <v>0</v>
      </c>
      <c r="K4" s="16">
        <f>IF(J4=0,0,J4-J3)</f>
        <v>0</v>
      </c>
      <c r="L4" s="20">
        <f t="shared" ref="L4:L28" si="20">IF(J4=0,0,K4/J3)</f>
        <v>0</v>
      </c>
      <c r="M4" s="19">
        <f t="shared" ref="M4:M28" si="21">M3</f>
        <v>26</v>
      </c>
      <c r="N4" s="50">
        <v>0</v>
      </c>
      <c r="O4" s="29">
        <f t="shared" ref="O4:O28" si="22">IF(J4=0,0,X3*(1+N4))</f>
        <v>0</v>
      </c>
      <c r="P4" s="17">
        <f t="shared" si="4"/>
        <v>0</v>
      </c>
      <c r="Q4" s="20">
        <f>IF(P4=0,0,(P4-P3)/P3)</f>
        <v>0</v>
      </c>
      <c r="R4" s="42">
        <f t="shared" ref="R4:R28" si="23">R3</f>
        <v>0.2</v>
      </c>
      <c r="S4" s="17" t="b">
        <f t="shared" si="17"/>
        <v>0</v>
      </c>
      <c r="T4" s="42">
        <f t="shared" ref="T4:W18" si="24">T3</f>
        <v>-0.2</v>
      </c>
      <c r="U4" s="17" t="b">
        <f t="shared" si="17"/>
        <v>0</v>
      </c>
      <c r="V4" s="42">
        <f t="shared" si="24"/>
        <v>0.1</v>
      </c>
      <c r="W4" s="42">
        <f t="shared" si="24"/>
        <v>-0.1</v>
      </c>
      <c r="X4" s="29">
        <f t="shared" ref="X4:X28" si="25">IF(P4&gt;S4,O4+O4*V4,IF(P4&lt;U4,O4+O4*W4,O4))</f>
        <v>0</v>
      </c>
      <c r="Y4" s="21">
        <f t="shared" si="5"/>
        <v>0</v>
      </c>
      <c r="Z4" s="17">
        <f t="shared" si="6"/>
        <v>0</v>
      </c>
      <c r="AA4" s="17">
        <f t="shared" ref="AA4:AD19" si="26">AA3+Z4</f>
        <v>0</v>
      </c>
      <c r="AB4" s="12">
        <v>1</v>
      </c>
      <c r="AC4" s="16">
        <f t="shared" ref="AC4:AC28" si="27">AC3</f>
        <v>0</v>
      </c>
      <c r="AD4" s="17">
        <f t="shared" si="26"/>
        <v>0</v>
      </c>
      <c r="AE4" s="37"/>
      <c r="AF4" s="23">
        <f t="shared" ref="AF4:AF28" si="28">AF3+AE4</f>
        <v>0</v>
      </c>
      <c r="AG4" s="12">
        <v>0.85</v>
      </c>
      <c r="AH4" s="37"/>
      <c r="AI4" s="23">
        <f t="shared" ref="AI4:AI28" si="29">AI3+AH4</f>
        <v>0</v>
      </c>
      <c r="AJ4" s="37"/>
      <c r="AK4" s="23">
        <f t="shared" ref="AK4:AK28" si="30">AK3+AJ4</f>
        <v>0</v>
      </c>
      <c r="AL4" s="17">
        <f t="shared" ref="AL4:AL28" si="31">Z4+AC4+AE4+AH4+AJ4</f>
        <v>0</v>
      </c>
      <c r="AM4" s="17">
        <f t="shared" ref="AM4:AM28" si="32">AM3+AL4</f>
        <v>0</v>
      </c>
      <c r="AN4" s="17">
        <v>0</v>
      </c>
      <c r="AO4" s="17">
        <f t="shared" si="18"/>
        <v>0</v>
      </c>
      <c r="AP4" s="17">
        <f t="shared" ref="AP4:AP28" si="33">AP3+AO4</f>
        <v>0</v>
      </c>
      <c r="AQ4" s="44">
        <v>0</v>
      </c>
      <c r="AR4" s="17">
        <f t="shared" si="7"/>
        <v>0</v>
      </c>
      <c r="AS4" s="17">
        <f t="shared" ref="AS4:AS28" si="34">AS3+AR4</f>
        <v>0</v>
      </c>
      <c r="AT4" s="44">
        <v>0</v>
      </c>
      <c r="AU4" s="17">
        <f t="shared" si="8"/>
        <v>0</v>
      </c>
      <c r="AV4" s="17">
        <f t="shared" ref="AV4:AV28" si="35">AV3+AU4</f>
        <v>0</v>
      </c>
      <c r="AW4" s="53">
        <f t="shared" si="9"/>
        <v>0</v>
      </c>
      <c r="AX4" s="17">
        <f t="shared" si="10"/>
        <v>0</v>
      </c>
      <c r="AY4" s="17">
        <f t="shared" ref="AY4:AY28" si="36">AY3+(AO4*BA4)</f>
        <v>0</v>
      </c>
      <c r="AZ4" s="22">
        <f t="shared" ref="AZ4:AZ28" si="37">AZ3</f>
        <v>0.12</v>
      </c>
      <c r="BA4" s="22">
        <f t="shared" si="11"/>
        <v>0.1</v>
      </c>
      <c r="BB4" s="22">
        <f t="shared" si="12"/>
        <v>0.1</v>
      </c>
      <c r="BD4" s="22">
        <v>0.22</v>
      </c>
      <c r="BE4" s="25">
        <v>89450</v>
      </c>
      <c r="BF4" s="25">
        <v>44725</v>
      </c>
    </row>
    <row r="5" spans="1:58" ht="18.75" thickBot="1" x14ac:dyDescent="0.4">
      <c r="A5" s="5">
        <f t="shared" si="19"/>
        <v>45334</v>
      </c>
      <c r="B5" s="37">
        <f t="shared" si="0"/>
        <v>0</v>
      </c>
      <c r="C5" s="29">
        <f t="shared" si="13"/>
        <v>0</v>
      </c>
      <c r="D5" s="37">
        <f t="shared" si="1"/>
        <v>0</v>
      </c>
      <c r="E5" s="29">
        <f t="shared" si="14"/>
        <v>0</v>
      </c>
      <c r="F5" s="37">
        <f t="shared" si="2"/>
        <v>0</v>
      </c>
      <c r="G5" s="29">
        <f t="shared" si="15"/>
        <v>0</v>
      </c>
      <c r="H5" s="37">
        <f t="shared" si="3"/>
        <v>0</v>
      </c>
      <c r="I5" s="29">
        <f t="shared" si="16"/>
        <v>0</v>
      </c>
      <c r="J5" s="17">
        <f t="shared" ref="J5:J28" si="38">B5+D5+F5+H5</f>
        <v>0</v>
      </c>
      <c r="K5" s="16">
        <f>IF(J5=0,0,J5-J4)</f>
        <v>0</v>
      </c>
      <c r="L5" s="20">
        <f t="shared" si="20"/>
        <v>0</v>
      </c>
      <c r="M5" s="19">
        <f t="shared" si="21"/>
        <v>26</v>
      </c>
      <c r="N5" s="50">
        <v>0</v>
      </c>
      <c r="O5" s="29">
        <f t="shared" si="22"/>
        <v>0</v>
      </c>
      <c r="P5" s="17">
        <f t="shared" si="4"/>
        <v>0</v>
      </c>
      <c r="Q5" s="20">
        <f t="shared" ref="Q5:Q28" si="39">IF(P5=0,0,(P5-P4)/P4)</f>
        <v>0</v>
      </c>
      <c r="R5" s="42">
        <f t="shared" si="23"/>
        <v>0.2</v>
      </c>
      <c r="S5" s="17" t="b">
        <f t="shared" si="17"/>
        <v>0</v>
      </c>
      <c r="T5" s="42">
        <f t="shared" si="24"/>
        <v>-0.2</v>
      </c>
      <c r="U5" s="17" t="b">
        <f t="shared" si="17"/>
        <v>0</v>
      </c>
      <c r="V5" s="42">
        <f t="shared" si="24"/>
        <v>0.1</v>
      </c>
      <c r="W5" s="42">
        <f t="shared" si="24"/>
        <v>-0.1</v>
      </c>
      <c r="X5" s="29">
        <f t="shared" si="25"/>
        <v>0</v>
      </c>
      <c r="Y5" s="21">
        <f t="shared" si="5"/>
        <v>0</v>
      </c>
      <c r="Z5" s="17">
        <f t="shared" si="6"/>
        <v>0</v>
      </c>
      <c r="AA5" s="17">
        <f t="shared" si="26"/>
        <v>0</v>
      </c>
      <c r="AB5" s="12">
        <v>1</v>
      </c>
      <c r="AC5" s="16">
        <f t="shared" si="27"/>
        <v>0</v>
      </c>
      <c r="AD5" s="17">
        <f t="shared" si="26"/>
        <v>0</v>
      </c>
      <c r="AE5" s="37"/>
      <c r="AF5" s="23">
        <f t="shared" si="28"/>
        <v>0</v>
      </c>
      <c r="AG5" s="12">
        <v>0.85</v>
      </c>
      <c r="AH5" s="37"/>
      <c r="AI5" s="23">
        <f t="shared" si="29"/>
        <v>0</v>
      </c>
      <c r="AJ5" s="37"/>
      <c r="AK5" s="23">
        <f t="shared" si="30"/>
        <v>0</v>
      </c>
      <c r="AL5" s="17">
        <f t="shared" si="31"/>
        <v>0</v>
      </c>
      <c r="AM5" s="17">
        <f t="shared" si="32"/>
        <v>0</v>
      </c>
      <c r="AN5" s="17">
        <v>0</v>
      </c>
      <c r="AO5" s="17">
        <f t="shared" si="18"/>
        <v>0</v>
      </c>
      <c r="AP5" s="17">
        <f t="shared" si="33"/>
        <v>0</v>
      </c>
      <c r="AQ5" s="44">
        <v>0</v>
      </c>
      <c r="AR5" s="17">
        <f t="shared" si="7"/>
        <v>0</v>
      </c>
      <c r="AS5" s="17">
        <f t="shared" si="34"/>
        <v>0</v>
      </c>
      <c r="AT5" s="44">
        <v>0</v>
      </c>
      <c r="AU5" s="17">
        <f t="shared" si="8"/>
        <v>0</v>
      </c>
      <c r="AV5" s="17">
        <f t="shared" si="35"/>
        <v>0</v>
      </c>
      <c r="AW5" s="53">
        <f t="shared" si="9"/>
        <v>0</v>
      </c>
      <c r="AX5" s="17">
        <f t="shared" si="10"/>
        <v>0</v>
      </c>
      <c r="AY5" s="17">
        <f t="shared" si="36"/>
        <v>0</v>
      </c>
      <c r="AZ5" s="22">
        <f t="shared" si="37"/>
        <v>0.12</v>
      </c>
      <c r="BA5" s="22">
        <f t="shared" si="11"/>
        <v>0.1</v>
      </c>
      <c r="BB5" s="22">
        <f t="shared" si="12"/>
        <v>0.1</v>
      </c>
      <c r="BD5" s="22">
        <v>0.24</v>
      </c>
      <c r="BE5" s="25">
        <v>190750</v>
      </c>
      <c r="BF5" s="25">
        <v>95375</v>
      </c>
    </row>
    <row r="6" spans="1:58" ht="18.75" thickBot="1" x14ac:dyDescent="0.4">
      <c r="A6" s="5">
        <f t="shared" si="19"/>
        <v>45348</v>
      </c>
      <c r="B6" s="37">
        <f t="shared" si="0"/>
        <v>0</v>
      </c>
      <c r="C6" s="29">
        <f t="shared" si="13"/>
        <v>0</v>
      </c>
      <c r="D6" s="37">
        <f t="shared" si="1"/>
        <v>0</v>
      </c>
      <c r="E6" s="29">
        <f t="shared" si="14"/>
        <v>0</v>
      </c>
      <c r="F6" s="37">
        <f t="shared" si="2"/>
        <v>0</v>
      </c>
      <c r="G6" s="29">
        <f t="shared" si="15"/>
        <v>0</v>
      </c>
      <c r="H6" s="37">
        <f t="shared" si="3"/>
        <v>0</v>
      </c>
      <c r="I6" s="29">
        <f t="shared" si="16"/>
        <v>0</v>
      </c>
      <c r="J6" s="17">
        <f t="shared" si="38"/>
        <v>0</v>
      </c>
      <c r="K6" s="16">
        <f t="shared" ref="K6:K28" si="40">IF(J6=0,0,J6-J5)</f>
        <v>0</v>
      </c>
      <c r="L6" s="20">
        <f t="shared" si="20"/>
        <v>0</v>
      </c>
      <c r="M6" s="19">
        <f t="shared" si="21"/>
        <v>26</v>
      </c>
      <c r="N6" s="50">
        <v>0</v>
      </c>
      <c r="O6" s="29">
        <f t="shared" si="22"/>
        <v>0</v>
      </c>
      <c r="P6" s="17">
        <f t="shared" si="4"/>
        <v>0</v>
      </c>
      <c r="Q6" s="20">
        <f t="shared" si="39"/>
        <v>0</v>
      </c>
      <c r="R6" s="42">
        <f t="shared" si="23"/>
        <v>0.2</v>
      </c>
      <c r="S6" s="17" t="b">
        <f t="shared" si="17"/>
        <v>0</v>
      </c>
      <c r="T6" s="42">
        <f t="shared" si="24"/>
        <v>-0.2</v>
      </c>
      <c r="U6" s="17" t="b">
        <f t="shared" si="17"/>
        <v>0</v>
      </c>
      <c r="V6" s="42">
        <f t="shared" si="24"/>
        <v>0.1</v>
      </c>
      <c r="W6" s="42">
        <f t="shared" si="24"/>
        <v>-0.1</v>
      </c>
      <c r="X6" s="29">
        <f t="shared" si="25"/>
        <v>0</v>
      </c>
      <c r="Y6" s="21">
        <f t="shared" si="5"/>
        <v>0</v>
      </c>
      <c r="Z6" s="17">
        <f t="shared" si="6"/>
        <v>0</v>
      </c>
      <c r="AA6" s="17">
        <f t="shared" si="26"/>
        <v>0</v>
      </c>
      <c r="AB6" s="12">
        <v>1</v>
      </c>
      <c r="AC6" s="16">
        <f t="shared" si="27"/>
        <v>0</v>
      </c>
      <c r="AD6" s="17">
        <f t="shared" si="26"/>
        <v>0</v>
      </c>
      <c r="AE6" s="37"/>
      <c r="AF6" s="23">
        <f t="shared" si="28"/>
        <v>0</v>
      </c>
      <c r="AG6" s="12">
        <v>0.85</v>
      </c>
      <c r="AH6" s="37"/>
      <c r="AI6" s="23">
        <f t="shared" si="29"/>
        <v>0</v>
      </c>
      <c r="AJ6" s="37"/>
      <c r="AK6" s="23">
        <f t="shared" si="30"/>
        <v>0</v>
      </c>
      <c r="AL6" s="17">
        <f t="shared" si="31"/>
        <v>0</v>
      </c>
      <c r="AM6" s="17">
        <f t="shared" si="32"/>
        <v>0</v>
      </c>
      <c r="AN6" s="17">
        <v>0</v>
      </c>
      <c r="AO6" s="17">
        <f t="shared" si="18"/>
        <v>0</v>
      </c>
      <c r="AP6" s="17">
        <f t="shared" si="33"/>
        <v>0</v>
      </c>
      <c r="AQ6" s="44">
        <v>0</v>
      </c>
      <c r="AR6" s="17">
        <f t="shared" si="7"/>
        <v>0</v>
      </c>
      <c r="AS6" s="17">
        <f t="shared" si="34"/>
        <v>0</v>
      </c>
      <c r="AT6" s="44">
        <v>0</v>
      </c>
      <c r="AU6" s="17">
        <f t="shared" si="8"/>
        <v>0</v>
      </c>
      <c r="AV6" s="17">
        <f t="shared" si="35"/>
        <v>0</v>
      </c>
      <c r="AW6" s="53">
        <f t="shared" si="9"/>
        <v>0</v>
      </c>
      <c r="AX6" s="17">
        <f t="shared" si="10"/>
        <v>0</v>
      </c>
      <c r="AY6" s="17">
        <f t="shared" si="36"/>
        <v>0</v>
      </c>
      <c r="AZ6" s="22">
        <f t="shared" si="37"/>
        <v>0.12</v>
      </c>
      <c r="BA6" s="22">
        <f t="shared" si="11"/>
        <v>0.1</v>
      </c>
      <c r="BB6" s="22">
        <f t="shared" si="12"/>
        <v>0.1</v>
      </c>
      <c r="BD6" s="22">
        <v>0.32</v>
      </c>
      <c r="BE6" s="25">
        <v>364200</v>
      </c>
      <c r="BF6" s="25">
        <v>182100</v>
      </c>
    </row>
    <row r="7" spans="1:58" ht="18.75" thickBot="1" x14ac:dyDescent="0.4">
      <c r="A7" s="5">
        <f t="shared" si="19"/>
        <v>45362</v>
      </c>
      <c r="B7" s="37">
        <f t="shared" si="0"/>
        <v>0</v>
      </c>
      <c r="C7" s="29">
        <f t="shared" si="13"/>
        <v>0</v>
      </c>
      <c r="D7" s="37">
        <f t="shared" si="1"/>
        <v>0</v>
      </c>
      <c r="E7" s="29">
        <f t="shared" si="14"/>
        <v>0</v>
      </c>
      <c r="F7" s="37">
        <f t="shared" si="2"/>
        <v>0</v>
      </c>
      <c r="G7" s="29">
        <f t="shared" si="15"/>
        <v>0</v>
      </c>
      <c r="H7" s="37">
        <f t="shared" si="3"/>
        <v>0</v>
      </c>
      <c r="I7" s="29">
        <f t="shared" si="16"/>
        <v>0</v>
      </c>
      <c r="J7" s="17">
        <f t="shared" si="38"/>
        <v>0</v>
      </c>
      <c r="K7" s="16">
        <f t="shared" si="40"/>
        <v>0</v>
      </c>
      <c r="L7" s="20">
        <f t="shared" si="20"/>
        <v>0</v>
      </c>
      <c r="M7" s="19">
        <f t="shared" si="21"/>
        <v>26</v>
      </c>
      <c r="N7" s="50">
        <v>0</v>
      </c>
      <c r="O7" s="29">
        <f t="shared" si="22"/>
        <v>0</v>
      </c>
      <c r="P7" s="17">
        <f t="shared" si="4"/>
        <v>0</v>
      </c>
      <c r="Q7" s="20">
        <f t="shared" si="39"/>
        <v>0</v>
      </c>
      <c r="R7" s="42">
        <f t="shared" si="23"/>
        <v>0.2</v>
      </c>
      <c r="S7" s="17" t="b">
        <f t="shared" si="17"/>
        <v>0</v>
      </c>
      <c r="T7" s="42">
        <f t="shared" si="24"/>
        <v>-0.2</v>
      </c>
      <c r="U7" s="17" t="b">
        <f t="shared" si="17"/>
        <v>0</v>
      </c>
      <c r="V7" s="42">
        <f t="shared" si="24"/>
        <v>0.1</v>
      </c>
      <c r="W7" s="42">
        <f t="shared" si="24"/>
        <v>-0.1</v>
      </c>
      <c r="X7" s="29">
        <f t="shared" si="25"/>
        <v>0</v>
      </c>
      <c r="Y7" s="21">
        <f t="shared" si="5"/>
        <v>0</v>
      </c>
      <c r="Z7" s="17">
        <f t="shared" si="6"/>
        <v>0</v>
      </c>
      <c r="AA7" s="17">
        <f t="shared" si="26"/>
        <v>0</v>
      </c>
      <c r="AB7" s="12">
        <v>1</v>
      </c>
      <c r="AC7" s="16">
        <f t="shared" si="27"/>
        <v>0</v>
      </c>
      <c r="AD7" s="17">
        <f t="shared" si="26"/>
        <v>0</v>
      </c>
      <c r="AE7" s="37"/>
      <c r="AF7" s="23">
        <f t="shared" si="28"/>
        <v>0</v>
      </c>
      <c r="AG7" s="12">
        <v>0.85</v>
      </c>
      <c r="AH7" s="37"/>
      <c r="AI7" s="23">
        <f t="shared" si="29"/>
        <v>0</v>
      </c>
      <c r="AJ7" s="37"/>
      <c r="AK7" s="23">
        <f t="shared" si="30"/>
        <v>0</v>
      </c>
      <c r="AL7" s="17">
        <f t="shared" si="31"/>
        <v>0</v>
      </c>
      <c r="AM7" s="17">
        <f t="shared" si="32"/>
        <v>0</v>
      </c>
      <c r="AN7" s="17">
        <v>0</v>
      </c>
      <c r="AO7" s="17">
        <f t="shared" si="18"/>
        <v>0</v>
      </c>
      <c r="AP7" s="17">
        <f t="shared" si="33"/>
        <v>0</v>
      </c>
      <c r="AQ7" s="44">
        <v>0</v>
      </c>
      <c r="AR7" s="17">
        <f t="shared" si="7"/>
        <v>0</v>
      </c>
      <c r="AS7" s="17">
        <f t="shared" si="34"/>
        <v>0</v>
      </c>
      <c r="AT7" s="44">
        <v>0</v>
      </c>
      <c r="AU7" s="17">
        <f t="shared" si="8"/>
        <v>0</v>
      </c>
      <c r="AV7" s="17">
        <f t="shared" si="35"/>
        <v>0</v>
      </c>
      <c r="AW7" s="53">
        <f t="shared" si="9"/>
        <v>0</v>
      </c>
      <c r="AX7" s="17">
        <f t="shared" si="10"/>
        <v>0</v>
      </c>
      <c r="AY7" s="17">
        <f t="shared" si="36"/>
        <v>0</v>
      </c>
      <c r="AZ7" s="22">
        <f t="shared" si="37"/>
        <v>0.12</v>
      </c>
      <c r="BA7" s="22">
        <f t="shared" si="11"/>
        <v>0.1</v>
      </c>
      <c r="BB7" s="22">
        <f t="shared" si="12"/>
        <v>0.1</v>
      </c>
      <c r="BD7" s="22">
        <v>0.35</v>
      </c>
      <c r="BE7" s="25">
        <v>462500</v>
      </c>
      <c r="BF7" s="25">
        <v>231250</v>
      </c>
    </row>
    <row r="8" spans="1:58" ht="18.75" thickBot="1" x14ac:dyDescent="0.4">
      <c r="A8" s="5">
        <f t="shared" si="19"/>
        <v>45376</v>
      </c>
      <c r="B8" s="37">
        <f t="shared" si="0"/>
        <v>0</v>
      </c>
      <c r="C8" s="29">
        <f t="shared" si="13"/>
        <v>0</v>
      </c>
      <c r="D8" s="37">
        <f t="shared" si="1"/>
        <v>0</v>
      </c>
      <c r="E8" s="29">
        <f t="shared" si="14"/>
        <v>0</v>
      </c>
      <c r="F8" s="37">
        <f t="shared" si="2"/>
        <v>0</v>
      </c>
      <c r="G8" s="29">
        <f t="shared" si="15"/>
        <v>0</v>
      </c>
      <c r="H8" s="37">
        <f t="shared" si="3"/>
        <v>0</v>
      </c>
      <c r="I8" s="29">
        <f t="shared" si="16"/>
        <v>0</v>
      </c>
      <c r="J8" s="17">
        <f t="shared" si="38"/>
        <v>0</v>
      </c>
      <c r="K8" s="16">
        <f t="shared" si="40"/>
        <v>0</v>
      </c>
      <c r="L8" s="20">
        <f t="shared" si="20"/>
        <v>0</v>
      </c>
      <c r="M8" s="19">
        <f t="shared" si="21"/>
        <v>26</v>
      </c>
      <c r="N8" s="50">
        <v>0</v>
      </c>
      <c r="O8" s="29">
        <f t="shared" si="22"/>
        <v>0</v>
      </c>
      <c r="P8" s="17">
        <f t="shared" si="4"/>
        <v>0</v>
      </c>
      <c r="Q8" s="20">
        <f t="shared" si="39"/>
        <v>0</v>
      </c>
      <c r="R8" s="42">
        <f t="shared" si="23"/>
        <v>0.2</v>
      </c>
      <c r="S8" s="17" t="b">
        <f t="shared" si="17"/>
        <v>0</v>
      </c>
      <c r="T8" s="42">
        <f t="shared" si="24"/>
        <v>-0.2</v>
      </c>
      <c r="U8" s="17" t="b">
        <f t="shared" si="17"/>
        <v>0</v>
      </c>
      <c r="V8" s="42">
        <f t="shared" si="24"/>
        <v>0.1</v>
      </c>
      <c r="W8" s="42">
        <f t="shared" si="24"/>
        <v>-0.1</v>
      </c>
      <c r="X8" s="29">
        <f t="shared" si="25"/>
        <v>0</v>
      </c>
      <c r="Y8" s="21">
        <f t="shared" si="5"/>
        <v>0</v>
      </c>
      <c r="Z8" s="17">
        <f t="shared" si="6"/>
        <v>0</v>
      </c>
      <c r="AA8" s="17">
        <f t="shared" si="26"/>
        <v>0</v>
      </c>
      <c r="AB8" s="12">
        <v>1</v>
      </c>
      <c r="AC8" s="16">
        <f t="shared" si="27"/>
        <v>0</v>
      </c>
      <c r="AD8" s="17">
        <f t="shared" si="26"/>
        <v>0</v>
      </c>
      <c r="AE8" s="37"/>
      <c r="AF8" s="23">
        <f t="shared" si="28"/>
        <v>0</v>
      </c>
      <c r="AG8" s="12">
        <v>0.85</v>
      </c>
      <c r="AH8" s="37"/>
      <c r="AI8" s="23">
        <f t="shared" si="29"/>
        <v>0</v>
      </c>
      <c r="AJ8" s="37"/>
      <c r="AK8" s="23">
        <f t="shared" si="30"/>
        <v>0</v>
      </c>
      <c r="AL8" s="17">
        <f t="shared" si="31"/>
        <v>0</v>
      </c>
      <c r="AM8" s="17">
        <f t="shared" si="32"/>
        <v>0</v>
      </c>
      <c r="AN8" s="17">
        <v>0</v>
      </c>
      <c r="AO8" s="17">
        <f t="shared" si="18"/>
        <v>0</v>
      </c>
      <c r="AP8" s="17">
        <f t="shared" si="33"/>
        <v>0</v>
      </c>
      <c r="AQ8" s="44">
        <v>0</v>
      </c>
      <c r="AR8" s="17">
        <f t="shared" si="7"/>
        <v>0</v>
      </c>
      <c r="AS8" s="17">
        <f t="shared" si="34"/>
        <v>0</v>
      </c>
      <c r="AT8" s="44">
        <v>0</v>
      </c>
      <c r="AU8" s="17">
        <f t="shared" si="8"/>
        <v>0</v>
      </c>
      <c r="AV8" s="17">
        <f t="shared" si="35"/>
        <v>0</v>
      </c>
      <c r="AW8" s="53">
        <f t="shared" si="9"/>
        <v>0</v>
      </c>
      <c r="AX8" s="17">
        <f t="shared" si="10"/>
        <v>0</v>
      </c>
      <c r="AY8" s="17">
        <f t="shared" si="36"/>
        <v>0</v>
      </c>
      <c r="AZ8" s="22">
        <f t="shared" si="37"/>
        <v>0.12</v>
      </c>
      <c r="BA8" s="22">
        <f t="shared" si="11"/>
        <v>0.1</v>
      </c>
      <c r="BB8" s="22">
        <f t="shared" si="12"/>
        <v>0.1</v>
      </c>
      <c r="BD8" s="22">
        <v>0.37</v>
      </c>
      <c r="BE8" s="25">
        <v>693750</v>
      </c>
      <c r="BF8" s="25">
        <v>578125</v>
      </c>
    </row>
    <row r="9" spans="1:58" ht="18.75" thickBot="1" x14ac:dyDescent="0.4">
      <c r="A9" s="5">
        <f t="shared" si="19"/>
        <v>45390</v>
      </c>
      <c r="B9" s="37">
        <f t="shared" si="0"/>
        <v>0</v>
      </c>
      <c r="C9" s="29">
        <f t="shared" si="13"/>
        <v>0</v>
      </c>
      <c r="D9" s="37">
        <f t="shared" si="1"/>
        <v>0</v>
      </c>
      <c r="E9" s="29">
        <f t="shared" si="14"/>
        <v>0</v>
      </c>
      <c r="F9" s="37">
        <f t="shared" si="2"/>
        <v>0</v>
      </c>
      <c r="G9" s="29">
        <f t="shared" si="15"/>
        <v>0</v>
      </c>
      <c r="H9" s="37">
        <f t="shared" si="3"/>
        <v>0</v>
      </c>
      <c r="I9" s="29">
        <f t="shared" si="16"/>
        <v>0</v>
      </c>
      <c r="J9" s="17">
        <f t="shared" si="38"/>
        <v>0</v>
      </c>
      <c r="K9" s="16">
        <f t="shared" si="40"/>
        <v>0</v>
      </c>
      <c r="L9" s="20">
        <f t="shared" si="20"/>
        <v>0</v>
      </c>
      <c r="M9" s="19">
        <f t="shared" si="21"/>
        <v>26</v>
      </c>
      <c r="N9" s="50">
        <v>0</v>
      </c>
      <c r="O9" s="29">
        <f t="shared" si="22"/>
        <v>0</v>
      </c>
      <c r="P9" s="17">
        <f t="shared" si="4"/>
        <v>0</v>
      </c>
      <c r="Q9" s="20">
        <f t="shared" si="39"/>
        <v>0</v>
      </c>
      <c r="R9" s="42">
        <f t="shared" si="23"/>
        <v>0.2</v>
      </c>
      <c r="S9" s="17" t="b">
        <f t="shared" si="17"/>
        <v>0</v>
      </c>
      <c r="T9" s="42">
        <f t="shared" si="24"/>
        <v>-0.2</v>
      </c>
      <c r="U9" s="17" t="b">
        <f t="shared" si="17"/>
        <v>0</v>
      </c>
      <c r="V9" s="42">
        <f t="shared" si="24"/>
        <v>0.1</v>
      </c>
      <c r="W9" s="42">
        <f t="shared" si="24"/>
        <v>-0.1</v>
      </c>
      <c r="X9" s="29">
        <f t="shared" si="25"/>
        <v>0</v>
      </c>
      <c r="Y9" s="21">
        <f t="shared" si="5"/>
        <v>0</v>
      </c>
      <c r="Z9" s="17">
        <f t="shared" si="6"/>
        <v>0</v>
      </c>
      <c r="AA9" s="17">
        <f t="shared" si="26"/>
        <v>0</v>
      </c>
      <c r="AB9" s="12">
        <v>1</v>
      </c>
      <c r="AC9" s="16">
        <f t="shared" si="27"/>
        <v>0</v>
      </c>
      <c r="AD9" s="17">
        <f t="shared" si="26"/>
        <v>0</v>
      </c>
      <c r="AE9" s="37"/>
      <c r="AF9" s="23">
        <f t="shared" si="28"/>
        <v>0</v>
      </c>
      <c r="AG9" s="12">
        <v>0.85</v>
      </c>
      <c r="AH9" s="37"/>
      <c r="AI9" s="23">
        <f t="shared" si="29"/>
        <v>0</v>
      </c>
      <c r="AJ9" s="37"/>
      <c r="AK9" s="23">
        <f t="shared" si="30"/>
        <v>0</v>
      </c>
      <c r="AL9" s="17">
        <f t="shared" si="31"/>
        <v>0</v>
      </c>
      <c r="AM9" s="17">
        <f t="shared" si="32"/>
        <v>0</v>
      </c>
      <c r="AN9" s="17">
        <v>0</v>
      </c>
      <c r="AO9" s="17">
        <f t="shared" si="18"/>
        <v>0</v>
      </c>
      <c r="AP9" s="17">
        <f t="shared" si="33"/>
        <v>0</v>
      </c>
      <c r="AQ9" s="44">
        <v>0</v>
      </c>
      <c r="AR9" s="17">
        <f t="shared" si="7"/>
        <v>0</v>
      </c>
      <c r="AS9" s="17">
        <f t="shared" si="34"/>
        <v>0</v>
      </c>
      <c r="AT9" s="44">
        <v>0</v>
      </c>
      <c r="AU9" s="17">
        <f t="shared" si="8"/>
        <v>0</v>
      </c>
      <c r="AV9" s="17">
        <f t="shared" si="35"/>
        <v>0</v>
      </c>
      <c r="AW9" s="53">
        <f t="shared" si="9"/>
        <v>0</v>
      </c>
      <c r="AX9" s="17">
        <f t="shared" si="10"/>
        <v>0</v>
      </c>
      <c r="AY9" s="17">
        <f t="shared" si="36"/>
        <v>0</v>
      </c>
      <c r="AZ9" s="22">
        <f t="shared" si="37"/>
        <v>0.12</v>
      </c>
      <c r="BA9" s="22">
        <f t="shared" si="11"/>
        <v>0.1</v>
      </c>
      <c r="BB9" s="22">
        <f t="shared" si="12"/>
        <v>0.1</v>
      </c>
    </row>
    <row r="10" spans="1:58" ht="18.75" thickBot="1" x14ac:dyDescent="0.4">
      <c r="A10" s="5">
        <f t="shared" si="19"/>
        <v>45404</v>
      </c>
      <c r="B10" s="37">
        <f t="shared" si="0"/>
        <v>0</v>
      </c>
      <c r="C10" s="29">
        <f t="shared" si="13"/>
        <v>0</v>
      </c>
      <c r="D10" s="37">
        <f t="shared" si="1"/>
        <v>0</v>
      </c>
      <c r="E10" s="29">
        <f t="shared" si="14"/>
        <v>0</v>
      </c>
      <c r="F10" s="37">
        <f t="shared" si="2"/>
        <v>0</v>
      </c>
      <c r="G10" s="29">
        <f t="shared" si="15"/>
        <v>0</v>
      </c>
      <c r="H10" s="37">
        <f t="shared" si="3"/>
        <v>0</v>
      </c>
      <c r="I10" s="29">
        <f t="shared" si="16"/>
        <v>0</v>
      </c>
      <c r="J10" s="17">
        <f t="shared" si="38"/>
        <v>0</v>
      </c>
      <c r="K10" s="16">
        <f t="shared" si="40"/>
        <v>0</v>
      </c>
      <c r="L10" s="20">
        <f t="shared" si="20"/>
        <v>0</v>
      </c>
      <c r="M10" s="19">
        <f t="shared" si="21"/>
        <v>26</v>
      </c>
      <c r="N10" s="50">
        <v>0</v>
      </c>
      <c r="O10" s="29">
        <f t="shared" si="22"/>
        <v>0</v>
      </c>
      <c r="P10" s="17">
        <f t="shared" si="4"/>
        <v>0</v>
      </c>
      <c r="Q10" s="20">
        <f t="shared" si="39"/>
        <v>0</v>
      </c>
      <c r="R10" s="42">
        <f t="shared" si="23"/>
        <v>0.2</v>
      </c>
      <c r="S10" s="17" t="b">
        <f t="shared" si="17"/>
        <v>0</v>
      </c>
      <c r="T10" s="42">
        <f t="shared" si="24"/>
        <v>-0.2</v>
      </c>
      <c r="U10" s="17" t="b">
        <f t="shared" si="17"/>
        <v>0</v>
      </c>
      <c r="V10" s="42">
        <f t="shared" si="24"/>
        <v>0.1</v>
      </c>
      <c r="W10" s="42">
        <f t="shared" si="24"/>
        <v>-0.1</v>
      </c>
      <c r="X10" s="29">
        <f t="shared" si="25"/>
        <v>0</v>
      </c>
      <c r="Y10" s="21">
        <f t="shared" si="5"/>
        <v>0</v>
      </c>
      <c r="Z10" s="17">
        <f t="shared" si="6"/>
        <v>0</v>
      </c>
      <c r="AA10" s="17">
        <f t="shared" si="26"/>
        <v>0</v>
      </c>
      <c r="AB10" s="12">
        <v>1</v>
      </c>
      <c r="AC10" s="16">
        <f t="shared" si="27"/>
        <v>0</v>
      </c>
      <c r="AD10" s="17">
        <f t="shared" si="26"/>
        <v>0</v>
      </c>
      <c r="AE10" s="37"/>
      <c r="AF10" s="23">
        <f t="shared" si="28"/>
        <v>0</v>
      </c>
      <c r="AG10" s="12">
        <v>0.85</v>
      </c>
      <c r="AH10" s="37"/>
      <c r="AI10" s="23">
        <f t="shared" si="29"/>
        <v>0</v>
      </c>
      <c r="AJ10" s="37"/>
      <c r="AK10" s="23">
        <f t="shared" si="30"/>
        <v>0</v>
      </c>
      <c r="AL10" s="17">
        <f t="shared" si="31"/>
        <v>0</v>
      </c>
      <c r="AM10" s="17">
        <f t="shared" si="32"/>
        <v>0</v>
      </c>
      <c r="AN10" s="17">
        <v>0</v>
      </c>
      <c r="AO10" s="17">
        <f t="shared" si="18"/>
        <v>0</v>
      </c>
      <c r="AP10" s="17">
        <f t="shared" si="33"/>
        <v>0</v>
      </c>
      <c r="AQ10" s="44">
        <v>0</v>
      </c>
      <c r="AR10" s="17">
        <f t="shared" si="7"/>
        <v>0</v>
      </c>
      <c r="AS10" s="17">
        <f t="shared" si="34"/>
        <v>0</v>
      </c>
      <c r="AT10" s="44">
        <v>0</v>
      </c>
      <c r="AU10" s="17">
        <f t="shared" si="8"/>
        <v>0</v>
      </c>
      <c r="AV10" s="17">
        <f t="shared" si="35"/>
        <v>0</v>
      </c>
      <c r="AW10" s="53">
        <f t="shared" si="9"/>
        <v>0</v>
      </c>
      <c r="AX10" s="17">
        <f t="shared" si="10"/>
        <v>0</v>
      </c>
      <c r="AY10" s="17">
        <f t="shared" si="36"/>
        <v>0</v>
      </c>
      <c r="AZ10" s="22">
        <f t="shared" si="37"/>
        <v>0.12</v>
      </c>
      <c r="BA10" s="22">
        <f t="shared" si="11"/>
        <v>0.1</v>
      </c>
      <c r="BB10" s="22">
        <f t="shared" si="12"/>
        <v>0.1</v>
      </c>
    </row>
    <row r="11" spans="1:58" ht="18.75" thickBot="1" x14ac:dyDescent="0.4">
      <c r="A11" s="5">
        <f t="shared" si="19"/>
        <v>45418</v>
      </c>
      <c r="B11" s="37">
        <f t="shared" si="0"/>
        <v>0</v>
      </c>
      <c r="C11" s="29">
        <f t="shared" si="13"/>
        <v>0</v>
      </c>
      <c r="D11" s="37">
        <f t="shared" si="1"/>
        <v>0</v>
      </c>
      <c r="E11" s="29">
        <f t="shared" si="14"/>
        <v>0</v>
      </c>
      <c r="F11" s="37">
        <f t="shared" si="2"/>
        <v>0</v>
      </c>
      <c r="G11" s="29">
        <f t="shared" si="15"/>
        <v>0</v>
      </c>
      <c r="H11" s="37">
        <f t="shared" si="3"/>
        <v>0</v>
      </c>
      <c r="I11" s="29">
        <f t="shared" si="16"/>
        <v>0</v>
      </c>
      <c r="J11" s="17">
        <f t="shared" si="38"/>
        <v>0</v>
      </c>
      <c r="K11" s="16">
        <f t="shared" si="40"/>
        <v>0</v>
      </c>
      <c r="L11" s="20">
        <f t="shared" si="20"/>
        <v>0</v>
      </c>
      <c r="M11" s="19">
        <f t="shared" si="21"/>
        <v>26</v>
      </c>
      <c r="N11" s="50">
        <v>0</v>
      </c>
      <c r="O11" s="29">
        <f t="shared" si="22"/>
        <v>0</v>
      </c>
      <c r="P11" s="17">
        <f t="shared" si="4"/>
        <v>0</v>
      </c>
      <c r="Q11" s="20">
        <f t="shared" si="39"/>
        <v>0</v>
      </c>
      <c r="R11" s="42">
        <f t="shared" si="23"/>
        <v>0.2</v>
      </c>
      <c r="S11" s="17" t="b">
        <f t="shared" si="17"/>
        <v>0</v>
      </c>
      <c r="T11" s="42">
        <f t="shared" si="24"/>
        <v>-0.2</v>
      </c>
      <c r="U11" s="17" t="b">
        <f t="shared" si="17"/>
        <v>0</v>
      </c>
      <c r="V11" s="42">
        <f t="shared" si="24"/>
        <v>0.1</v>
      </c>
      <c r="W11" s="42">
        <f t="shared" si="24"/>
        <v>-0.1</v>
      </c>
      <c r="X11" s="29">
        <f t="shared" si="25"/>
        <v>0</v>
      </c>
      <c r="Y11" s="21">
        <f t="shared" si="5"/>
        <v>0</v>
      </c>
      <c r="Z11" s="17">
        <f t="shared" si="6"/>
        <v>0</v>
      </c>
      <c r="AA11" s="17">
        <f t="shared" si="26"/>
        <v>0</v>
      </c>
      <c r="AB11" s="12">
        <v>1</v>
      </c>
      <c r="AC11" s="16">
        <f t="shared" si="27"/>
        <v>0</v>
      </c>
      <c r="AD11" s="17">
        <f t="shared" si="26"/>
        <v>0</v>
      </c>
      <c r="AE11" s="37"/>
      <c r="AF11" s="23">
        <f t="shared" si="28"/>
        <v>0</v>
      </c>
      <c r="AG11" s="12">
        <v>0.85</v>
      </c>
      <c r="AH11" s="37"/>
      <c r="AI11" s="23">
        <f t="shared" si="29"/>
        <v>0</v>
      </c>
      <c r="AJ11" s="37"/>
      <c r="AK11" s="23">
        <f t="shared" si="30"/>
        <v>0</v>
      </c>
      <c r="AL11" s="17">
        <f t="shared" si="31"/>
        <v>0</v>
      </c>
      <c r="AM11" s="17">
        <f t="shared" si="32"/>
        <v>0</v>
      </c>
      <c r="AN11" s="17">
        <v>0</v>
      </c>
      <c r="AO11" s="17">
        <f t="shared" si="18"/>
        <v>0</v>
      </c>
      <c r="AP11" s="17">
        <f t="shared" si="33"/>
        <v>0</v>
      </c>
      <c r="AQ11" s="44">
        <v>0</v>
      </c>
      <c r="AR11" s="17">
        <f t="shared" si="7"/>
        <v>0</v>
      </c>
      <c r="AS11" s="17">
        <f t="shared" si="34"/>
        <v>0</v>
      </c>
      <c r="AT11" s="44">
        <v>0</v>
      </c>
      <c r="AU11" s="17">
        <f t="shared" si="8"/>
        <v>0</v>
      </c>
      <c r="AV11" s="17">
        <f t="shared" si="35"/>
        <v>0</v>
      </c>
      <c r="AW11" s="53">
        <f t="shared" si="9"/>
        <v>0</v>
      </c>
      <c r="AX11" s="17">
        <f t="shared" si="10"/>
        <v>0</v>
      </c>
      <c r="AY11" s="17">
        <f t="shared" si="36"/>
        <v>0</v>
      </c>
      <c r="AZ11" s="22">
        <f t="shared" si="37"/>
        <v>0.12</v>
      </c>
      <c r="BA11" s="22">
        <f t="shared" si="11"/>
        <v>0.1</v>
      </c>
      <c r="BB11" s="22">
        <f t="shared" si="12"/>
        <v>0.1</v>
      </c>
    </row>
    <row r="12" spans="1:58" ht="18.75" thickBot="1" x14ac:dyDescent="0.4">
      <c r="A12" s="5">
        <f t="shared" si="19"/>
        <v>45432</v>
      </c>
      <c r="B12" s="37">
        <f t="shared" si="0"/>
        <v>0</v>
      </c>
      <c r="C12" s="29">
        <f t="shared" si="13"/>
        <v>0</v>
      </c>
      <c r="D12" s="37">
        <f t="shared" si="1"/>
        <v>0</v>
      </c>
      <c r="E12" s="29">
        <f t="shared" si="14"/>
        <v>0</v>
      </c>
      <c r="F12" s="37">
        <f t="shared" si="2"/>
        <v>0</v>
      </c>
      <c r="G12" s="29">
        <f t="shared" si="15"/>
        <v>0</v>
      </c>
      <c r="H12" s="37">
        <f t="shared" si="3"/>
        <v>0</v>
      </c>
      <c r="I12" s="29">
        <f t="shared" si="16"/>
        <v>0</v>
      </c>
      <c r="J12" s="17">
        <f t="shared" si="38"/>
        <v>0</v>
      </c>
      <c r="K12" s="16">
        <f t="shared" si="40"/>
        <v>0</v>
      </c>
      <c r="L12" s="20">
        <f t="shared" si="20"/>
        <v>0</v>
      </c>
      <c r="M12" s="19">
        <f t="shared" si="21"/>
        <v>26</v>
      </c>
      <c r="N12" s="50">
        <v>0</v>
      </c>
      <c r="O12" s="29">
        <f t="shared" si="22"/>
        <v>0</v>
      </c>
      <c r="P12" s="17">
        <f t="shared" si="4"/>
        <v>0</v>
      </c>
      <c r="Q12" s="20">
        <f t="shared" si="39"/>
        <v>0</v>
      </c>
      <c r="R12" s="42">
        <f t="shared" si="23"/>
        <v>0.2</v>
      </c>
      <c r="S12" s="17" t="b">
        <f t="shared" si="17"/>
        <v>0</v>
      </c>
      <c r="T12" s="42">
        <f t="shared" si="24"/>
        <v>-0.2</v>
      </c>
      <c r="U12" s="17" t="b">
        <f t="shared" si="17"/>
        <v>0</v>
      </c>
      <c r="V12" s="42">
        <f t="shared" si="24"/>
        <v>0.1</v>
      </c>
      <c r="W12" s="42">
        <f t="shared" si="24"/>
        <v>-0.1</v>
      </c>
      <c r="X12" s="29">
        <f t="shared" si="25"/>
        <v>0</v>
      </c>
      <c r="Y12" s="21">
        <f t="shared" si="5"/>
        <v>0</v>
      </c>
      <c r="Z12" s="17">
        <f t="shared" si="6"/>
        <v>0</v>
      </c>
      <c r="AA12" s="17">
        <f t="shared" si="26"/>
        <v>0</v>
      </c>
      <c r="AB12" s="12">
        <v>1</v>
      </c>
      <c r="AC12" s="16">
        <f t="shared" si="27"/>
        <v>0</v>
      </c>
      <c r="AD12" s="17">
        <f t="shared" si="26"/>
        <v>0</v>
      </c>
      <c r="AE12" s="37"/>
      <c r="AF12" s="23">
        <f t="shared" si="28"/>
        <v>0</v>
      </c>
      <c r="AG12" s="12">
        <v>0.85</v>
      </c>
      <c r="AH12" s="37"/>
      <c r="AI12" s="23">
        <f t="shared" si="29"/>
        <v>0</v>
      </c>
      <c r="AJ12" s="37"/>
      <c r="AK12" s="23">
        <f t="shared" si="30"/>
        <v>0</v>
      </c>
      <c r="AL12" s="17">
        <f t="shared" si="31"/>
        <v>0</v>
      </c>
      <c r="AM12" s="17">
        <f t="shared" si="32"/>
        <v>0</v>
      </c>
      <c r="AN12" s="17">
        <v>0</v>
      </c>
      <c r="AO12" s="17">
        <f t="shared" si="18"/>
        <v>0</v>
      </c>
      <c r="AP12" s="17">
        <f t="shared" si="33"/>
        <v>0</v>
      </c>
      <c r="AQ12" s="44">
        <v>0</v>
      </c>
      <c r="AR12" s="17">
        <f t="shared" si="7"/>
        <v>0</v>
      </c>
      <c r="AS12" s="17">
        <f t="shared" si="34"/>
        <v>0</v>
      </c>
      <c r="AT12" s="44">
        <v>0</v>
      </c>
      <c r="AU12" s="17">
        <f t="shared" si="8"/>
        <v>0</v>
      </c>
      <c r="AV12" s="17">
        <f t="shared" si="35"/>
        <v>0</v>
      </c>
      <c r="AW12" s="53">
        <f t="shared" si="9"/>
        <v>0</v>
      </c>
      <c r="AX12" s="17">
        <f t="shared" si="10"/>
        <v>0</v>
      </c>
      <c r="AY12" s="17">
        <f t="shared" si="36"/>
        <v>0</v>
      </c>
      <c r="AZ12" s="22">
        <f t="shared" si="37"/>
        <v>0.12</v>
      </c>
      <c r="BA12" s="22">
        <f t="shared" si="11"/>
        <v>0.1</v>
      </c>
      <c r="BB12" s="22">
        <f t="shared" si="12"/>
        <v>0.1</v>
      </c>
    </row>
    <row r="13" spans="1:58" ht="18.75" thickBot="1" x14ac:dyDescent="0.4">
      <c r="A13" s="5">
        <f t="shared" si="19"/>
        <v>45446</v>
      </c>
      <c r="B13" s="37">
        <f t="shared" si="0"/>
        <v>0</v>
      </c>
      <c r="C13" s="29">
        <f t="shared" si="13"/>
        <v>0</v>
      </c>
      <c r="D13" s="37">
        <f t="shared" ref="D13:H28" si="41">0*$J$34</f>
        <v>0</v>
      </c>
      <c r="E13" s="29">
        <f t="shared" si="14"/>
        <v>0</v>
      </c>
      <c r="F13" s="37">
        <f t="shared" si="41"/>
        <v>0</v>
      </c>
      <c r="G13" s="29">
        <f t="shared" si="15"/>
        <v>0</v>
      </c>
      <c r="H13" s="37">
        <f t="shared" si="41"/>
        <v>0</v>
      </c>
      <c r="I13" s="29">
        <f t="shared" si="16"/>
        <v>0</v>
      </c>
      <c r="J13" s="17">
        <f t="shared" si="38"/>
        <v>0</v>
      </c>
      <c r="K13" s="16">
        <f t="shared" si="40"/>
        <v>0</v>
      </c>
      <c r="L13" s="20">
        <f t="shared" si="20"/>
        <v>0</v>
      </c>
      <c r="M13" s="19">
        <f t="shared" si="21"/>
        <v>26</v>
      </c>
      <c r="N13" s="50">
        <v>0</v>
      </c>
      <c r="O13" s="29">
        <f t="shared" si="22"/>
        <v>0</v>
      </c>
      <c r="P13" s="17">
        <f t="shared" si="4"/>
        <v>0</v>
      </c>
      <c r="Q13" s="20">
        <f t="shared" si="39"/>
        <v>0</v>
      </c>
      <c r="R13" s="42">
        <f t="shared" si="23"/>
        <v>0.2</v>
      </c>
      <c r="S13" s="17" t="b">
        <f t="shared" si="17"/>
        <v>0</v>
      </c>
      <c r="T13" s="42">
        <f t="shared" si="24"/>
        <v>-0.2</v>
      </c>
      <c r="U13" s="17" t="b">
        <f t="shared" si="17"/>
        <v>0</v>
      </c>
      <c r="V13" s="42">
        <f t="shared" si="24"/>
        <v>0.1</v>
      </c>
      <c r="W13" s="42">
        <f t="shared" si="24"/>
        <v>-0.1</v>
      </c>
      <c r="X13" s="29">
        <f t="shared" si="25"/>
        <v>0</v>
      </c>
      <c r="Y13" s="21">
        <f t="shared" si="5"/>
        <v>0</v>
      </c>
      <c r="Z13" s="17">
        <f t="shared" si="6"/>
        <v>0</v>
      </c>
      <c r="AA13" s="17">
        <f t="shared" si="26"/>
        <v>0</v>
      </c>
      <c r="AB13" s="12">
        <v>1</v>
      </c>
      <c r="AC13" s="16">
        <f t="shared" si="27"/>
        <v>0</v>
      </c>
      <c r="AD13" s="17">
        <f t="shared" si="26"/>
        <v>0</v>
      </c>
      <c r="AE13" s="37"/>
      <c r="AF13" s="23">
        <f t="shared" si="28"/>
        <v>0</v>
      </c>
      <c r="AG13" s="12">
        <v>0.85</v>
      </c>
      <c r="AH13" s="37"/>
      <c r="AI13" s="23">
        <f t="shared" si="29"/>
        <v>0</v>
      </c>
      <c r="AJ13" s="37"/>
      <c r="AK13" s="23">
        <f t="shared" si="30"/>
        <v>0</v>
      </c>
      <c r="AL13" s="17">
        <f t="shared" si="31"/>
        <v>0</v>
      </c>
      <c r="AM13" s="17">
        <f t="shared" si="32"/>
        <v>0</v>
      </c>
      <c r="AN13" s="17">
        <v>0</v>
      </c>
      <c r="AO13" s="17">
        <f>0*$J$34</f>
        <v>0</v>
      </c>
      <c r="AP13" s="17">
        <f t="shared" si="33"/>
        <v>0</v>
      </c>
      <c r="AQ13" s="44">
        <v>0</v>
      </c>
      <c r="AR13" s="17">
        <f t="shared" si="7"/>
        <v>0</v>
      </c>
      <c r="AS13" s="17">
        <f t="shared" si="34"/>
        <v>0</v>
      </c>
      <c r="AT13" s="44">
        <v>0</v>
      </c>
      <c r="AU13" s="17">
        <f t="shared" si="8"/>
        <v>0</v>
      </c>
      <c r="AV13" s="17">
        <f t="shared" si="35"/>
        <v>0</v>
      </c>
      <c r="AW13" s="53">
        <f t="shared" si="9"/>
        <v>0</v>
      </c>
      <c r="AX13" s="17">
        <f t="shared" si="10"/>
        <v>0</v>
      </c>
      <c r="AY13" s="17">
        <f t="shared" si="36"/>
        <v>0</v>
      </c>
      <c r="AZ13" s="22">
        <f t="shared" si="37"/>
        <v>0.12</v>
      </c>
      <c r="BA13" s="22">
        <f t="shared" si="11"/>
        <v>0.1</v>
      </c>
      <c r="BB13" s="22">
        <f t="shared" si="12"/>
        <v>0.1</v>
      </c>
    </row>
    <row r="14" spans="1:58" ht="18.75" thickBot="1" x14ac:dyDescent="0.4">
      <c r="A14" s="5">
        <f t="shared" si="19"/>
        <v>45460</v>
      </c>
      <c r="B14" s="37">
        <f t="shared" ref="B14:B28" si="42">0*$J$34</f>
        <v>0</v>
      </c>
      <c r="C14" s="29">
        <f t="shared" si="13"/>
        <v>0</v>
      </c>
      <c r="D14" s="37">
        <f t="shared" si="41"/>
        <v>0</v>
      </c>
      <c r="E14" s="29">
        <f t="shared" si="14"/>
        <v>0</v>
      </c>
      <c r="F14" s="37">
        <f t="shared" si="41"/>
        <v>0</v>
      </c>
      <c r="G14" s="29">
        <f t="shared" si="15"/>
        <v>0</v>
      </c>
      <c r="H14" s="37">
        <f t="shared" si="41"/>
        <v>0</v>
      </c>
      <c r="I14" s="29">
        <f t="shared" si="16"/>
        <v>0</v>
      </c>
      <c r="J14" s="17">
        <f t="shared" si="38"/>
        <v>0</v>
      </c>
      <c r="K14" s="16">
        <f t="shared" si="40"/>
        <v>0</v>
      </c>
      <c r="L14" s="20">
        <f t="shared" si="20"/>
        <v>0</v>
      </c>
      <c r="M14" s="19">
        <f t="shared" si="21"/>
        <v>26</v>
      </c>
      <c r="N14" s="50">
        <v>0</v>
      </c>
      <c r="O14" s="29">
        <f t="shared" si="22"/>
        <v>0</v>
      </c>
      <c r="P14" s="17">
        <f t="shared" si="4"/>
        <v>0</v>
      </c>
      <c r="Q14" s="20">
        <f t="shared" si="39"/>
        <v>0</v>
      </c>
      <c r="R14" s="42">
        <f t="shared" si="23"/>
        <v>0.2</v>
      </c>
      <c r="S14" s="17" t="b">
        <f t="shared" si="17"/>
        <v>0</v>
      </c>
      <c r="T14" s="42">
        <f t="shared" si="24"/>
        <v>-0.2</v>
      </c>
      <c r="U14" s="17" t="b">
        <f t="shared" si="17"/>
        <v>0</v>
      </c>
      <c r="V14" s="42">
        <f t="shared" si="24"/>
        <v>0.1</v>
      </c>
      <c r="W14" s="42">
        <f t="shared" si="24"/>
        <v>-0.1</v>
      </c>
      <c r="X14" s="29">
        <f t="shared" si="25"/>
        <v>0</v>
      </c>
      <c r="Y14" s="21">
        <f t="shared" si="5"/>
        <v>0</v>
      </c>
      <c r="Z14" s="17">
        <f t="shared" si="6"/>
        <v>0</v>
      </c>
      <c r="AA14" s="17">
        <f t="shared" si="26"/>
        <v>0</v>
      </c>
      <c r="AB14" s="12">
        <v>1</v>
      </c>
      <c r="AC14" s="16">
        <f t="shared" si="27"/>
        <v>0</v>
      </c>
      <c r="AD14" s="17">
        <f t="shared" si="26"/>
        <v>0</v>
      </c>
      <c r="AE14" s="37"/>
      <c r="AF14" s="23">
        <f t="shared" si="28"/>
        <v>0</v>
      </c>
      <c r="AG14" s="12">
        <v>0.85</v>
      </c>
      <c r="AH14" s="37"/>
      <c r="AI14" s="23">
        <f t="shared" si="29"/>
        <v>0</v>
      </c>
      <c r="AJ14" s="37"/>
      <c r="AK14" s="23">
        <f t="shared" si="30"/>
        <v>0</v>
      </c>
      <c r="AL14" s="17">
        <f t="shared" si="31"/>
        <v>0</v>
      </c>
      <c r="AM14" s="17">
        <f t="shared" si="32"/>
        <v>0</v>
      </c>
      <c r="AN14" s="17">
        <v>0</v>
      </c>
      <c r="AO14" s="17">
        <f t="shared" ref="AO14:AO28" si="43">0*$J$34</f>
        <v>0</v>
      </c>
      <c r="AP14" s="17">
        <f t="shared" si="33"/>
        <v>0</v>
      </c>
      <c r="AQ14" s="44">
        <v>0</v>
      </c>
      <c r="AR14" s="17">
        <f t="shared" si="7"/>
        <v>0</v>
      </c>
      <c r="AS14" s="17">
        <f t="shared" si="34"/>
        <v>0</v>
      </c>
      <c r="AT14" s="44">
        <v>0</v>
      </c>
      <c r="AU14" s="17">
        <f t="shared" si="8"/>
        <v>0</v>
      </c>
      <c r="AV14" s="17">
        <f t="shared" si="35"/>
        <v>0</v>
      </c>
      <c r="AW14" s="53">
        <f t="shared" si="9"/>
        <v>0</v>
      </c>
      <c r="AX14" s="17">
        <f t="shared" si="10"/>
        <v>0</v>
      </c>
      <c r="AY14" s="17">
        <f t="shared" si="36"/>
        <v>0</v>
      </c>
      <c r="AZ14" s="22">
        <f t="shared" si="37"/>
        <v>0.12</v>
      </c>
      <c r="BA14" s="22">
        <f t="shared" si="11"/>
        <v>0.1</v>
      </c>
      <c r="BB14" s="22">
        <f t="shared" si="12"/>
        <v>0.1</v>
      </c>
    </row>
    <row r="15" spans="1:58" ht="18.75" thickBot="1" x14ac:dyDescent="0.4">
      <c r="A15" s="5">
        <f t="shared" si="19"/>
        <v>45474</v>
      </c>
      <c r="B15" s="37">
        <f t="shared" si="42"/>
        <v>0</v>
      </c>
      <c r="C15" s="29">
        <f t="shared" si="13"/>
        <v>0</v>
      </c>
      <c r="D15" s="37">
        <f t="shared" si="41"/>
        <v>0</v>
      </c>
      <c r="E15" s="29">
        <f t="shared" si="14"/>
        <v>0</v>
      </c>
      <c r="F15" s="37">
        <f t="shared" si="41"/>
        <v>0</v>
      </c>
      <c r="G15" s="29">
        <f t="shared" si="15"/>
        <v>0</v>
      </c>
      <c r="H15" s="37">
        <f t="shared" si="41"/>
        <v>0</v>
      </c>
      <c r="I15" s="29">
        <f t="shared" si="16"/>
        <v>0</v>
      </c>
      <c r="J15" s="17">
        <f t="shared" si="38"/>
        <v>0</v>
      </c>
      <c r="K15" s="16">
        <f t="shared" si="40"/>
        <v>0</v>
      </c>
      <c r="L15" s="20">
        <f t="shared" si="20"/>
        <v>0</v>
      </c>
      <c r="M15" s="19">
        <f t="shared" si="21"/>
        <v>26</v>
      </c>
      <c r="N15" s="50">
        <v>0</v>
      </c>
      <c r="O15" s="29">
        <f t="shared" si="22"/>
        <v>0</v>
      </c>
      <c r="P15" s="17">
        <f t="shared" si="4"/>
        <v>0</v>
      </c>
      <c r="Q15" s="20">
        <f t="shared" si="39"/>
        <v>0</v>
      </c>
      <c r="R15" s="42">
        <f t="shared" si="23"/>
        <v>0.2</v>
      </c>
      <c r="S15" s="17" t="b">
        <f t="shared" si="17"/>
        <v>0</v>
      </c>
      <c r="T15" s="42">
        <f t="shared" si="24"/>
        <v>-0.2</v>
      </c>
      <c r="U15" s="17" t="b">
        <f t="shared" si="17"/>
        <v>0</v>
      </c>
      <c r="V15" s="42">
        <f t="shared" si="24"/>
        <v>0.1</v>
      </c>
      <c r="W15" s="42">
        <f t="shared" si="24"/>
        <v>-0.1</v>
      </c>
      <c r="X15" s="29">
        <f t="shared" si="25"/>
        <v>0</v>
      </c>
      <c r="Y15" s="21">
        <f t="shared" si="5"/>
        <v>0</v>
      </c>
      <c r="Z15" s="17">
        <f t="shared" si="6"/>
        <v>0</v>
      </c>
      <c r="AA15" s="17">
        <f t="shared" si="26"/>
        <v>0</v>
      </c>
      <c r="AB15" s="12">
        <v>1</v>
      </c>
      <c r="AC15" s="16">
        <f t="shared" si="27"/>
        <v>0</v>
      </c>
      <c r="AD15" s="17">
        <f t="shared" si="26"/>
        <v>0</v>
      </c>
      <c r="AE15" s="37"/>
      <c r="AF15" s="23">
        <f t="shared" si="28"/>
        <v>0</v>
      </c>
      <c r="AG15" s="12">
        <v>0.85</v>
      </c>
      <c r="AH15" s="37"/>
      <c r="AI15" s="23">
        <f t="shared" si="29"/>
        <v>0</v>
      </c>
      <c r="AJ15" s="37"/>
      <c r="AK15" s="23">
        <f t="shared" si="30"/>
        <v>0</v>
      </c>
      <c r="AL15" s="17">
        <f t="shared" si="31"/>
        <v>0</v>
      </c>
      <c r="AM15" s="17">
        <f t="shared" si="32"/>
        <v>0</v>
      </c>
      <c r="AN15" s="17">
        <v>0</v>
      </c>
      <c r="AO15" s="17">
        <f t="shared" si="43"/>
        <v>0</v>
      </c>
      <c r="AP15" s="17">
        <f t="shared" si="33"/>
        <v>0</v>
      </c>
      <c r="AQ15" s="44">
        <v>0</v>
      </c>
      <c r="AR15" s="17">
        <f t="shared" si="7"/>
        <v>0</v>
      </c>
      <c r="AS15" s="17">
        <f t="shared" si="34"/>
        <v>0</v>
      </c>
      <c r="AT15" s="44">
        <v>0</v>
      </c>
      <c r="AU15" s="17">
        <f t="shared" si="8"/>
        <v>0</v>
      </c>
      <c r="AV15" s="17">
        <f t="shared" si="35"/>
        <v>0</v>
      </c>
      <c r="AW15" s="53">
        <f t="shared" si="9"/>
        <v>0</v>
      </c>
      <c r="AX15" s="17">
        <f t="shared" si="10"/>
        <v>0</v>
      </c>
      <c r="AY15" s="17">
        <f t="shared" si="36"/>
        <v>0</v>
      </c>
      <c r="AZ15" s="22">
        <f t="shared" si="37"/>
        <v>0.12</v>
      </c>
      <c r="BA15" s="22">
        <f t="shared" si="11"/>
        <v>0.1</v>
      </c>
      <c r="BB15" s="22">
        <f t="shared" si="12"/>
        <v>0.1</v>
      </c>
    </row>
    <row r="16" spans="1:58" ht="18.75" thickBot="1" x14ac:dyDescent="0.4">
      <c r="A16" s="5">
        <f t="shared" si="19"/>
        <v>45488</v>
      </c>
      <c r="B16" s="37">
        <f t="shared" si="42"/>
        <v>0</v>
      </c>
      <c r="C16" s="29">
        <f t="shared" si="13"/>
        <v>0</v>
      </c>
      <c r="D16" s="37">
        <f t="shared" si="41"/>
        <v>0</v>
      </c>
      <c r="E16" s="29">
        <f t="shared" si="14"/>
        <v>0</v>
      </c>
      <c r="F16" s="37">
        <f t="shared" si="41"/>
        <v>0</v>
      </c>
      <c r="G16" s="29">
        <f t="shared" si="15"/>
        <v>0</v>
      </c>
      <c r="H16" s="37">
        <f t="shared" si="41"/>
        <v>0</v>
      </c>
      <c r="I16" s="29">
        <f t="shared" si="16"/>
        <v>0</v>
      </c>
      <c r="J16" s="17">
        <f t="shared" si="38"/>
        <v>0</v>
      </c>
      <c r="K16" s="16">
        <f t="shared" si="40"/>
        <v>0</v>
      </c>
      <c r="L16" s="20">
        <f t="shared" si="20"/>
        <v>0</v>
      </c>
      <c r="M16" s="19">
        <f t="shared" si="21"/>
        <v>26</v>
      </c>
      <c r="N16" s="50">
        <v>0</v>
      </c>
      <c r="O16" s="29">
        <f t="shared" si="22"/>
        <v>0</v>
      </c>
      <c r="P16" s="17">
        <f t="shared" si="4"/>
        <v>0</v>
      </c>
      <c r="Q16" s="20">
        <f t="shared" si="39"/>
        <v>0</v>
      </c>
      <c r="R16" s="42">
        <f t="shared" si="23"/>
        <v>0.2</v>
      </c>
      <c r="S16" s="17" t="b">
        <f t="shared" si="17"/>
        <v>0</v>
      </c>
      <c r="T16" s="42">
        <f t="shared" si="24"/>
        <v>-0.2</v>
      </c>
      <c r="U16" s="17" t="b">
        <f t="shared" si="17"/>
        <v>0</v>
      </c>
      <c r="V16" s="42">
        <f t="shared" si="24"/>
        <v>0.1</v>
      </c>
      <c r="W16" s="42">
        <f t="shared" si="24"/>
        <v>-0.1</v>
      </c>
      <c r="X16" s="29">
        <f t="shared" si="25"/>
        <v>0</v>
      </c>
      <c r="Y16" s="21">
        <f t="shared" si="5"/>
        <v>0</v>
      </c>
      <c r="Z16" s="17">
        <f t="shared" si="6"/>
        <v>0</v>
      </c>
      <c r="AA16" s="17">
        <f t="shared" si="26"/>
        <v>0</v>
      </c>
      <c r="AB16" s="12">
        <v>1</v>
      </c>
      <c r="AC16" s="16">
        <f t="shared" si="27"/>
        <v>0</v>
      </c>
      <c r="AD16" s="17">
        <f t="shared" si="26"/>
        <v>0</v>
      </c>
      <c r="AE16" s="37"/>
      <c r="AF16" s="23">
        <f t="shared" si="28"/>
        <v>0</v>
      </c>
      <c r="AG16" s="12">
        <v>0.85</v>
      </c>
      <c r="AH16" s="37"/>
      <c r="AI16" s="23">
        <f t="shared" si="29"/>
        <v>0</v>
      </c>
      <c r="AJ16" s="37"/>
      <c r="AK16" s="23">
        <f t="shared" si="30"/>
        <v>0</v>
      </c>
      <c r="AL16" s="17">
        <f t="shared" si="31"/>
        <v>0</v>
      </c>
      <c r="AM16" s="17">
        <f t="shared" si="32"/>
        <v>0</v>
      </c>
      <c r="AN16" s="17">
        <v>0</v>
      </c>
      <c r="AO16" s="17">
        <f t="shared" si="43"/>
        <v>0</v>
      </c>
      <c r="AP16" s="17">
        <f t="shared" si="33"/>
        <v>0</v>
      </c>
      <c r="AQ16" s="44">
        <v>0</v>
      </c>
      <c r="AR16" s="17">
        <f t="shared" si="7"/>
        <v>0</v>
      </c>
      <c r="AS16" s="17">
        <f t="shared" si="34"/>
        <v>0</v>
      </c>
      <c r="AT16" s="44">
        <v>0</v>
      </c>
      <c r="AU16" s="17">
        <f t="shared" si="8"/>
        <v>0</v>
      </c>
      <c r="AV16" s="17">
        <f t="shared" si="35"/>
        <v>0</v>
      </c>
      <c r="AW16" s="53">
        <f t="shared" si="9"/>
        <v>0</v>
      </c>
      <c r="AX16" s="17">
        <f t="shared" si="10"/>
        <v>0</v>
      </c>
      <c r="AY16" s="17">
        <f t="shared" si="36"/>
        <v>0</v>
      </c>
      <c r="AZ16" s="22">
        <f t="shared" si="37"/>
        <v>0.12</v>
      </c>
      <c r="BA16" s="22">
        <f t="shared" si="11"/>
        <v>0.1</v>
      </c>
      <c r="BB16" s="22">
        <f t="shared" si="12"/>
        <v>0.1</v>
      </c>
    </row>
    <row r="17" spans="1:54" ht="18.75" thickBot="1" x14ac:dyDescent="0.4">
      <c r="A17" s="5">
        <f t="shared" si="19"/>
        <v>45502</v>
      </c>
      <c r="B17" s="37">
        <f t="shared" si="42"/>
        <v>0</v>
      </c>
      <c r="C17" s="29">
        <f t="shared" si="13"/>
        <v>0</v>
      </c>
      <c r="D17" s="37">
        <f t="shared" si="41"/>
        <v>0</v>
      </c>
      <c r="E17" s="29">
        <f t="shared" si="14"/>
        <v>0</v>
      </c>
      <c r="F17" s="37">
        <f t="shared" si="41"/>
        <v>0</v>
      </c>
      <c r="G17" s="29">
        <f t="shared" si="15"/>
        <v>0</v>
      </c>
      <c r="H17" s="37">
        <f t="shared" si="41"/>
        <v>0</v>
      </c>
      <c r="I17" s="29">
        <f t="shared" si="16"/>
        <v>0</v>
      </c>
      <c r="J17" s="17">
        <f t="shared" si="38"/>
        <v>0</v>
      </c>
      <c r="K17" s="16">
        <f t="shared" si="40"/>
        <v>0</v>
      </c>
      <c r="L17" s="20">
        <f t="shared" si="20"/>
        <v>0</v>
      </c>
      <c r="M17" s="19">
        <f t="shared" si="21"/>
        <v>26</v>
      </c>
      <c r="N17" s="50">
        <v>0</v>
      </c>
      <c r="O17" s="29">
        <f t="shared" si="22"/>
        <v>0</v>
      </c>
      <c r="P17" s="17">
        <f t="shared" si="4"/>
        <v>0</v>
      </c>
      <c r="Q17" s="20">
        <f t="shared" si="39"/>
        <v>0</v>
      </c>
      <c r="R17" s="42">
        <f t="shared" si="23"/>
        <v>0.2</v>
      </c>
      <c r="S17" s="17" t="b">
        <f t="shared" si="17"/>
        <v>0</v>
      </c>
      <c r="T17" s="42">
        <f t="shared" si="24"/>
        <v>-0.2</v>
      </c>
      <c r="U17" s="17" t="b">
        <f t="shared" si="17"/>
        <v>0</v>
      </c>
      <c r="V17" s="42">
        <f t="shared" si="24"/>
        <v>0.1</v>
      </c>
      <c r="W17" s="42">
        <f t="shared" si="24"/>
        <v>-0.1</v>
      </c>
      <c r="X17" s="29">
        <f t="shared" si="25"/>
        <v>0</v>
      </c>
      <c r="Y17" s="21">
        <f t="shared" si="5"/>
        <v>0</v>
      </c>
      <c r="Z17" s="17">
        <f t="shared" si="6"/>
        <v>0</v>
      </c>
      <c r="AA17" s="17">
        <f t="shared" si="26"/>
        <v>0</v>
      </c>
      <c r="AB17" s="12">
        <v>1</v>
      </c>
      <c r="AC17" s="16">
        <f t="shared" si="27"/>
        <v>0</v>
      </c>
      <c r="AD17" s="17">
        <f t="shared" si="26"/>
        <v>0</v>
      </c>
      <c r="AE17" s="37"/>
      <c r="AF17" s="23">
        <f t="shared" si="28"/>
        <v>0</v>
      </c>
      <c r="AG17" s="12">
        <v>0.85</v>
      </c>
      <c r="AH17" s="37"/>
      <c r="AI17" s="23">
        <f t="shared" si="29"/>
        <v>0</v>
      </c>
      <c r="AJ17" s="37"/>
      <c r="AK17" s="23">
        <f t="shared" si="30"/>
        <v>0</v>
      </c>
      <c r="AL17" s="17">
        <f t="shared" si="31"/>
        <v>0</v>
      </c>
      <c r="AM17" s="17">
        <f t="shared" si="32"/>
        <v>0</v>
      </c>
      <c r="AN17" s="17">
        <v>0</v>
      </c>
      <c r="AO17" s="17">
        <f t="shared" si="43"/>
        <v>0</v>
      </c>
      <c r="AP17" s="17">
        <f t="shared" si="33"/>
        <v>0</v>
      </c>
      <c r="AQ17" s="44">
        <v>0</v>
      </c>
      <c r="AR17" s="17">
        <f t="shared" si="7"/>
        <v>0</v>
      </c>
      <c r="AS17" s="17">
        <f t="shared" si="34"/>
        <v>0</v>
      </c>
      <c r="AT17" s="44">
        <v>0</v>
      </c>
      <c r="AU17" s="17">
        <f t="shared" si="8"/>
        <v>0</v>
      </c>
      <c r="AV17" s="17">
        <f t="shared" si="35"/>
        <v>0</v>
      </c>
      <c r="AW17" s="53">
        <f t="shared" si="9"/>
        <v>0</v>
      </c>
      <c r="AX17" s="17">
        <f t="shared" si="10"/>
        <v>0</v>
      </c>
      <c r="AY17" s="17">
        <f t="shared" si="36"/>
        <v>0</v>
      </c>
      <c r="AZ17" s="22">
        <f t="shared" si="37"/>
        <v>0.12</v>
      </c>
      <c r="BA17" s="22">
        <f t="shared" si="11"/>
        <v>0.1</v>
      </c>
      <c r="BB17" s="22">
        <f t="shared" si="12"/>
        <v>0.1</v>
      </c>
    </row>
    <row r="18" spans="1:54" ht="18.75" thickBot="1" x14ac:dyDescent="0.4">
      <c r="A18" s="5">
        <f t="shared" si="19"/>
        <v>45516</v>
      </c>
      <c r="B18" s="37">
        <f t="shared" si="42"/>
        <v>0</v>
      </c>
      <c r="C18" s="29">
        <f t="shared" si="13"/>
        <v>0</v>
      </c>
      <c r="D18" s="37">
        <f t="shared" si="41"/>
        <v>0</v>
      </c>
      <c r="E18" s="29">
        <f t="shared" si="14"/>
        <v>0</v>
      </c>
      <c r="F18" s="37">
        <f t="shared" si="41"/>
        <v>0</v>
      </c>
      <c r="G18" s="29">
        <f t="shared" si="15"/>
        <v>0</v>
      </c>
      <c r="H18" s="37">
        <f t="shared" si="41"/>
        <v>0</v>
      </c>
      <c r="I18" s="29">
        <f t="shared" si="16"/>
        <v>0</v>
      </c>
      <c r="J18" s="17">
        <f t="shared" si="38"/>
        <v>0</v>
      </c>
      <c r="K18" s="16">
        <f t="shared" si="40"/>
        <v>0</v>
      </c>
      <c r="L18" s="20">
        <f t="shared" si="20"/>
        <v>0</v>
      </c>
      <c r="M18" s="19">
        <f t="shared" si="21"/>
        <v>26</v>
      </c>
      <c r="N18" s="50">
        <v>0</v>
      </c>
      <c r="O18" s="29">
        <f t="shared" si="22"/>
        <v>0</v>
      </c>
      <c r="P18" s="17">
        <f t="shared" si="4"/>
        <v>0</v>
      </c>
      <c r="Q18" s="20">
        <f t="shared" si="39"/>
        <v>0</v>
      </c>
      <c r="R18" s="42">
        <f t="shared" si="23"/>
        <v>0.2</v>
      </c>
      <c r="S18" s="17" t="b">
        <f t="shared" si="17"/>
        <v>0</v>
      </c>
      <c r="T18" s="42">
        <f t="shared" si="24"/>
        <v>-0.2</v>
      </c>
      <c r="U18" s="17" t="b">
        <f t="shared" si="17"/>
        <v>0</v>
      </c>
      <c r="V18" s="42">
        <f t="shared" si="24"/>
        <v>0.1</v>
      </c>
      <c r="W18" s="42">
        <f t="shared" si="24"/>
        <v>-0.1</v>
      </c>
      <c r="X18" s="29">
        <f t="shared" si="25"/>
        <v>0</v>
      </c>
      <c r="Y18" s="21">
        <f t="shared" si="5"/>
        <v>0</v>
      </c>
      <c r="Z18" s="17">
        <f t="shared" si="6"/>
        <v>0</v>
      </c>
      <c r="AA18" s="17">
        <f t="shared" si="26"/>
        <v>0</v>
      </c>
      <c r="AB18" s="12">
        <v>1</v>
      </c>
      <c r="AC18" s="16">
        <f t="shared" si="27"/>
        <v>0</v>
      </c>
      <c r="AD18" s="17">
        <f t="shared" si="26"/>
        <v>0</v>
      </c>
      <c r="AE18" s="37"/>
      <c r="AF18" s="23">
        <f t="shared" si="28"/>
        <v>0</v>
      </c>
      <c r="AG18" s="12">
        <v>0.85</v>
      </c>
      <c r="AH18" s="37"/>
      <c r="AI18" s="23">
        <f t="shared" si="29"/>
        <v>0</v>
      </c>
      <c r="AJ18" s="37"/>
      <c r="AK18" s="23">
        <f t="shared" si="30"/>
        <v>0</v>
      </c>
      <c r="AL18" s="17">
        <f t="shared" si="31"/>
        <v>0</v>
      </c>
      <c r="AM18" s="17">
        <f t="shared" si="32"/>
        <v>0</v>
      </c>
      <c r="AN18" s="17">
        <v>0</v>
      </c>
      <c r="AO18" s="17">
        <f t="shared" si="43"/>
        <v>0</v>
      </c>
      <c r="AP18" s="17">
        <f t="shared" si="33"/>
        <v>0</v>
      </c>
      <c r="AQ18" s="44">
        <v>0</v>
      </c>
      <c r="AR18" s="17">
        <f t="shared" si="7"/>
        <v>0</v>
      </c>
      <c r="AS18" s="17">
        <f t="shared" si="34"/>
        <v>0</v>
      </c>
      <c r="AT18" s="44">
        <v>0</v>
      </c>
      <c r="AU18" s="17">
        <f t="shared" si="8"/>
        <v>0</v>
      </c>
      <c r="AV18" s="17">
        <f t="shared" si="35"/>
        <v>0</v>
      </c>
      <c r="AW18" s="53">
        <f t="shared" si="9"/>
        <v>0</v>
      </c>
      <c r="AX18" s="17">
        <f t="shared" si="10"/>
        <v>0</v>
      </c>
      <c r="AY18" s="17">
        <f t="shared" si="36"/>
        <v>0</v>
      </c>
      <c r="AZ18" s="22">
        <f t="shared" si="37"/>
        <v>0.12</v>
      </c>
      <c r="BA18" s="22">
        <f t="shared" si="11"/>
        <v>0.1</v>
      </c>
      <c r="BB18" s="22">
        <f t="shared" si="12"/>
        <v>0.1</v>
      </c>
    </row>
    <row r="19" spans="1:54" ht="18.75" thickBot="1" x14ac:dyDescent="0.4">
      <c r="A19" s="5">
        <f t="shared" si="19"/>
        <v>45530</v>
      </c>
      <c r="B19" s="37">
        <f t="shared" si="42"/>
        <v>0</v>
      </c>
      <c r="C19" s="29">
        <f t="shared" si="13"/>
        <v>0</v>
      </c>
      <c r="D19" s="37">
        <f t="shared" si="41"/>
        <v>0</v>
      </c>
      <c r="E19" s="29">
        <f t="shared" si="14"/>
        <v>0</v>
      </c>
      <c r="F19" s="37">
        <f t="shared" si="41"/>
        <v>0</v>
      </c>
      <c r="G19" s="29">
        <f t="shared" si="15"/>
        <v>0</v>
      </c>
      <c r="H19" s="37">
        <f t="shared" si="41"/>
        <v>0</v>
      </c>
      <c r="I19" s="29">
        <f t="shared" si="16"/>
        <v>0</v>
      </c>
      <c r="J19" s="17">
        <f t="shared" si="38"/>
        <v>0</v>
      </c>
      <c r="K19" s="16">
        <f t="shared" si="40"/>
        <v>0</v>
      </c>
      <c r="L19" s="20">
        <f t="shared" si="20"/>
        <v>0</v>
      </c>
      <c r="M19" s="19">
        <f t="shared" si="21"/>
        <v>26</v>
      </c>
      <c r="N19" s="50">
        <v>0</v>
      </c>
      <c r="O19" s="29">
        <f t="shared" si="22"/>
        <v>0</v>
      </c>
      <c r="P19" s="17">
        <f t="shared" si="4"/>
        <v>0</v>
      </c>
      <c r="Q19" s="20">
        <f t="shared" si="39"/>
        <v>0</v>
      </c>
      <c r="R19" s="42">
        <f t="shared" si="23"/>
        <v>0.2</v>
      </c>
      <c r="S19" s="17" t="b">
        <f t="shared" si="17"/>
        <v>0</v>
      </c>
      <c r="T19" s="42">
        <f t="shared" ref="T19:W28" si="44">T18</f>
        <v>-0.2</v>
      </c>
      <c r="U19" s="17" t="b">
        <f t="shared" si="17"/>
        <v>0</v>
      </c>
      <c r="V19" s="42">
        <f t="shared" si="44"/>
        <v>0.1</v>
      </c>
      <c r="W19" s="42">
        <f t="shared" si="44"/>
        <v>-0.1</v>
      </c>
      <c r="X19" s="29">
        <f t="shared" si="25"/>
        <v>0</v>
      </c>
      <c r="Y19" s="21">
        <f t="shared" si="5"/>
        <v>0</v>
      </c>
      <c r="Z19" s="17">
        <f t="shared" si="6"/>
        <v>0</v>
      </c>
      <c r="AA19" s="17">
        <f t="shared" si="26"/>
        <v>0</v>
      </c>
      <c r="AB19" s="12">
        <v>1</v>
      </c>
      <c r="AC19" s="16">
        <f t="shared" si="27"/>
        <v>0</v>
      </c>
      <c r="AD19" s="17">
        <f t="shared" si="26"/>
        <v>0</v>
      </c>
      <c r="AE19" s="37"/>
      <c r="AF19" s="23">
        <f t="shared" si="28"/>
        <v>0</v>
      </c>
      <c r="AG19" s="12">
        <v>0.85</v>
      </c>
      <c r="AH19" s="37"/>
      <c r="AI19" s="23">
        <f t="shared" si="29"/>
        <v>0</v>
      </c>
      <c r="AJ19" s="37"/>
      <c r="AK19" s="23">
        <f t="shared" si="30"/>
        <v>0</v>
      </c>
      <c r="AL19" s="17">
        <f t="shared" si="31"/>
        <v>0</v>
      </c>
      <c r="AM19" s="17">
        <f t="shared" si="32"/>
        <v>0</v>
      </c>
      <c r="AN19" s="17">
        <v>0</v>
      </c>
      <c r="AO19" s="17">
        <f t="shared" si="43"/>
        <v>0</v>
      </c>
      <c r="AP19" s="17">
        <f t="shared" si="33"/>
        <v>0</v>
      </c>
      <c r="AQ19" s="44">
        <v>0</v>
      </c>
      <c r="AR19" s="17">
        <f t="shared" si="7"/>
        <v>0</v>
      </c>
      <c r="AS19" s="17">
        <f t="shared" si="34"/>
        <v>0</v>
      </c>
      <c r="AT19" s="44">
        <v>0</v>
      </c>
      <c r="AU19" s="17">
        <f t="shared" si="8"/>
        <v>0</v>
      </c>
      <c r="AV19" s="17">
        <f t="shared" si="35"/>
        <v>0</v>
      </c>
      <c r="AW19" s="53">
        <f t="shared" si="9"/>
        <v>0</v>
      </c>
      <c r="AX19" s="17">
        <f t="shared" si="10"/>
        <v>0</v>
      </c>
      <c r="AY19" s="17">
        <f t="shared" si="36"/>
        <v>0</v>
      </c>
      <c r="AZ19" s="22">
        <f t="shared" si="37"/>
        <v>0.12</v>
      </c>
      <c r="BA19" s="22">
        <f t="shared" si="11"/>
        <v>0.1</v>
      </c>
      <c r="BB19" s="22">
        <f t="shared" si="12"/>
        <v>0.1</v>
      </c>
    </row>
    <row r="20" spans="1:54" ht="18.75" thickBot="1" x14ac:dyDescent="0.4">
      <c r="A20" s="5">
        <f t="shared" si="19"/>
        <v>45544</v>
      </c>
      <c r="B20" s="37">
        <f t="shared" si="42"/>
        <v>0</v>
      </c>
      <c r="C20" s="29">
        <f t="shared" si="13"/>
        <v>0</v>
      </c>
      <c r="D20" s="37">
        <f t="shared" si="41"/>
        <v>0</v>
      </c>
      <c r="E20" s="29">
        <f t="shared" si="14"/>
        <v>0</v>
      </c>
      <c r="F20" s="37">
        <f t="shared" si="41"/>
        <v>0</v>
      </c>
      <c r="G20" s="29">
        <f t="shared" si="15"/>
        <v>0</v>
      </c>
      <c r="H20" s="37">
        <f t="shared" si="41"/>
        <v>0</v>
      </c>
      <c r="I20" s="29">
        <f t="shared" si="16"/>
        <v>0</v>
      </c>
      <c r="J20" s="17">
        <f t="shared" si="38"/>
        <v>0</v>
      </c>
      <c r="K20" s="16">
        <f t="shared" si="40"/>
        <v>0</v>
      </c>
      <c r="L20" s="20">
        <f t="shared" si="20"/>
        <v>0</v>
      </c>
      <c r="M20" s="19">
        <f t="shared" si="21"/>
        <v>26</v>
      </c>
      <c r="N20" s="50">
        <v>0</v>
      </c>
      <c r="O20" s="29">
        <f t="shared" si="22"/>
        <v>0</v>
      </c>
      <c r="P20" s="17">
        <f t="shared" si="4"/>
        <v>0</v>
      </c>
      <c r="Q20" s="20">
        <f t="shared" si="39"/>
        <v>0</v>
      </c>
      <c r="R20" s="42">
        <f t="shared" si="23"/>
        <v>0.2</v>
      </c>
      <c r="S20" s="17" t="b">
        <f t="shared" si="17"/>
        <v>0</v>
      </c>
      <c r="T20" s="42">
        <f t="shared" si="44"/>
        <v>-0.2</v>
      </c>
      <c r="U20" s="17" t="b">
        <f t="shared" si="17"/>
        <v>0</v>
      </c>
      <c r="V20" s="42">
        <f t="shared" si="44"/>
        <v>0.1</v>
      </c>
      <c r="W20" s="42">
        <f t="shared" si="44"/>
        <v>-0.1</v>
      </c>
      <c r="X20" s="29">
        <f t="shared" si="25"/>
        <v>0</v>
      </c>
      <c r="Y20" s="21">
        <f t="shared" si="5"/>
        <v>0</v>
      </c>
      <c r="Z20" s="17">
        <f t="shared" si="6"/>
        <v>0</v>
      </c>
      <c r="AA20" s="17">
        <f t="shared" ref="AA20:AD28" si="45">AA19+Z20</f>
        <v>0</v>
      </c>
      <c r="AB20" s="12">
        <v>1</v>
      </c>
      <c r="AC20" s="16">
        <f t="shared" si="27"/>
        <v>0</v>
      </c>
      <c r="AD20" s="17">
        <f t="shared" si="45"/>
        <v>0</v>
      </c>
      <c r="AE20" s="37"/>
      <c r="AF20" s="23">
        <f t="shared" si="28"/>
        <v>0</v>
      </c>
      <c r="AG20" s="12">
        <v>0.85</v>
      </c>
      <c r="AH20" s="37"/>
      <c r="AI20" s="23">
        <f t="shared" si="29"/>
        <v>0</v>
      </c>
      <c r="AJ20" s="37"/>
      <c r="AK20" s="23">
        <f t="shared" si="30"/>
        <v>0</v>
      </c>
      <c r="AL20" s="17">
        <f t="shared" si="31"/>
        <v>0</v>
      </c>
      <c r="AM20" s="17">
        <f t="shared" si="32"/>
        <v>0</v>
      </c>
      <c r="AN20" s="17">
        <v>0</v>
      </c>
      <c r="AO20" s="17">
        <f t="shared" si="43"/>
        <v>0</v>
      </c>
      <c r="AP20" s="17">
        <f t="shared" si="33"/>
        <v>0</v>
      </c>
      <c r="AQ20" s="44">
        <v>0</v>
      </c>
      <c r="AR20" s="17">
        <f t="shared" si="7"/>
        <v>0</v>
      </c>
      <c r="AS20" s="17">
        <f t="shared" si="34"/>
        <v>0</v>
      </c>
      <c r="AT20" s="44">
        <v>0</v>
      </c>
      <c r="AU20" s="17">
        <f t="shared" si="8"/>
        <v>0</v>
      </c>
      <c r="AV20" s="17">
        <f t="shared" si="35"/>
        <v>0</v>
      </c>
      <c r="AW20" s="53">
        <f t="shared" si="9"/>
        <v>0</v>
      </c>
      <c r="AX20" s="17">
        <f t="shared" si="10"/>
        <v>0</v>
      </c>
      <c r="AY20" s="17">
        <f t="shared" si="36"/>
        <v>0</v>
      </c>
      <c r="AZ20" s="22">
        <f t="shared" si="37"/>
        <v>0.12</v>
      </c>
      <c r="BA20" s="22">
        <f t="shared" si="11"/>
        <v>0.1</v>
      </c>
      <c r="BB20" s="22">
        <f t="shared" si="12"/>
        <v>0.1</v>
      </c>
    </row>
    <row r="21" spans="1:54" ht="18.75" thickBot="1" x14ac:dyDescent="0.4">
      <c r="A21" s="5">
        <f t="shared" si="19"/>
        <v>45558</v>
      </c>
      <c r="B21" s="37">
        <f t="shared" si="42"/>
        <v>0</v>
      </c>
      <c r="C21" s="29">
        <f t="shared" si="13"/>
        <v>0</v>
      </c>
      <c r="D21" s="37">
        <f t="shared" si="41"/>
        <v>0</v>
      </c>
      <c r="E21" s="29">
        <f t="shared" si="14"/>
        <v>0</v>
      </c>
      <c r="F21" s="37">
        <f t="shared" si="41"/>
        <v>0</v>
      </c>
      <c r="G21" s="29">
        <f t="shared" si="15"/>
        <v>0</v>
      </c>
      <c r="H21" s="37">
        <f t="shared" si="41"/>
        <v>0</v>
      </c>
      <c r="I21" s="29">
        <f t="shared" si="16"/>
        <v>0</v>
      </c>
      <c r="J21" s="17">
        <f t="shared" si="38"/>
        <v>0</v>
      </c>
      <c r="K21" s="16">
        <f t="shared" si="40"/>
        <v>0</v>
      </c>
      <c r="L21" s="20">
        <f t="shared" si="20"/>
        <v>0</v>
      </c>
      <c r="M21" s="19">
        <f t="shared" si="21"/>
        <v>26</v>
      </c>
      <c r="N21" s="50">
        <v>0</v>
      </c>
      <c r="O21" s="29">
        <f t="shared" si="22"/>
        <v>0</v>
      </c>
      <c r="P21" s="17">
        <f t="shared" si="4"/>
        <v>0</v>
      </c>
      <c r="Q21" s="20">
        <f t="shared" si="39"/>
        <v>0</v>
      </c>
      <c r="R21" s="42">
        <f t="shared" si="23"/>
        <v>0.2</v>
      </c>
      <c r="S21" s="17" t="b">
        <f t="shared" si="17"/>
        <v>0</v>
      </c>
      <c r="T21" s="42">
        <f t="shared" si="44"/>
        <v>-0.2</v>
      </c>
      <c r="U21" s="17" t="b">
        <f t="shared" si="17"/>
        <v>0</v>
      </c>
      <c r="V21" s="42">
        <f t="shared" si="44"/>
        <v>0.1</v>
      </c>
      <c r="W21" s="42">
        <f t="shared" si="44"/>
        <v>-0.1</v>
      </c>
      <c r="X21" s="29">
        <f t="shared" si="25"/>
        <v>0</v>
      </c>
      <c r="Y21" s="21">
        <f t="shared" si="5"/>
        <v>0</v>
      </c>
      <c r="Z21" s="17">
        <f t="shared" si="6"/>
        <v>0</v>
      </c>
      <c r="AA21" s="17">
        <f t="shared" si="45"/>
        <v>0</v>
      </c>
      <c r="AB21" s="12">
        <v>1</v>
      </c>
      <c r="AC21" s="16">
        <f t="shared" si="27"/>
        <v>0</v>
      </c>
      <c r="AD21" s="17">
        <f t="shared" si="45"/>
        <v>0</v>
      </c>
      <c r="AE21" s="37"/>
      <c r="AF21" s="23">
        <f t="shared" si="28"/>
        <v>0</v>
      </c>
      <c r="AG21" s="12">
        <v>0.85</v>
      </c>
      <c r="AH21" s="37"/>
      <c r="AI21" s="23">
        <f t="shared" si="29"/>
        <v>0</v>
      </c>
      <c r="AJ21" s="37"/>
      <c r="AK21" s="23">
        <f t="shared" si="30"/>
        <v>0</v>
      </c>
      <c r="AL21" s="17">
        <f t="shared" si="31"/>
        <v>0</v>
      </c>
      <c r="AM21" s="17">
        <f t="shared" si="32"/>
        <v>0</v>
      </c>
      <c r="AN21" s="17">
        <v>0</v>
      </c>
      <c r="AO21" s="17">
        <f t="shared" si="43"/>
        <v>0</v>
      </c>
      <c r="AP21" s="17">
        <f t="shared" si="33"/>
        <v>0</v>
      </c>
      <c r="AQ21" s="44">
        <v>0</v>
      </c>
      <c r="AR21" s="17">
        <f t="shared" si="7"/>
        <v>0</v>
      </c>
      <c r="AS21" s="17">
        <f t="shared" si="34"/>
        <v>0</v>
      </c>
      <c r="AT21" s="44">
        <v>0</v>
      </c>
      <c r="AU21" s="17">
        <f t="shared" si="8"/>
        <v>0</v>
      </c>
      <c r="AV21" s="17">
        <f t="shared" si="35"/>
        <v>0</v>
      </c>
      <c r="AW21" s="53">
        <f t="shared" si="9"/>
        <v>0</v>
      </c>
      <c r="AX21" s="17">
        <f t="shared" si="10"/>
        <v>0</v>
      </c>
      <c r="AY21" s="17">
        <f t="shared" si="36"/>
        <v>0</v>
      </c>
      <c r="AZ21" s="22">
        <f t="shared" si="37"/>
        <v>0.12</v>
      </c>
      <c r="BA21" s="22">
        <f t="shared" si="11"/>
        <v>0.1</v>
      </c>
      <c r="BB21" s="22">
        <f t="shared" si="12"/>
        <v>0.1</v>
      </c>
    </row>
    <row r="22" spans="1:54" ht="18.75" thickBot="1" x14ac:dyDescent="0.4">
      <c r="A22" s="5">
        <f t="shared" si="19"/>
        <v>45572</v>
      </c>
      <c r="B22" s="37">
        <f t="shared" si="42"/>
        <v>0</v>
      </c>
      <c r="C22" s="29">
        <f t="shared" si="13"/>
        <v>0</v>
      </c>
      <c r="D22" s="37">
        <f t="shared" si="41"/>
        <v>0</v>
      </c>
      <c r="E22" s="29">
        <f t="shared" si="14"/>
        <v>0</v>
      </c>
      <c r="F22" s="37">
        <f t="shared" si="41"/>
        <v>0</v>
      </c>
      <c r="G22" s="29">
        <f t="shared" si="15"/>
        <v>0</v>
      </c>
      <c r="H22" s="37">
        <f t="shared" si="41"/>
        <v>0</v>
      </c>
      <c r="I22" s="29">
        <f t="shared" si="16"/>
        <v>0</v>
      </c>
      <c r="J22" s="17">
        <f t="shared" si="38"/>
        <v>0</v>
      </c>
      <c r="K22" s="16">
        <f t="shared" si="40"/>
        <v>0</v>
      </c>
      <c r="L22" s="20">
        <f t="shared" si="20"/>
        <v>0</v>
      </c>
      <c r="M22" s="19">
        <f t="shared" si="21"/>
        <v>26</v>
      </c>
      <c r="N22" s="50">
        <v>0</v>
      </c>
      <c r="O22" s="29">
        <f t="shared" si="22"/>
        <v>0</v>
      </c>
      <c r="P22" s="17">
        <f t="shared" si="4"/>
        <v>0</v>
      </c>
      <c r="Q22" s="20">
        <f t="shared" si="39"/>
        <v>0</v>
      </c>
      <c r="R22" s="42">
        <f t="shared" si="23"/>
        <v>0.2</v>
      </c>
      <c r="S22" s="17" t="b">
        <f t="shared" si="17"/>
        <v>0</v>
      </c>
      <c r="T22" s="42">
        <f t="shared" si="44"/>
        <v>-0.2</v>
      </c>
      <c r="U22" s="17" t="b">
        <f t="shared" si="17"/>
        <v>0</v>
      </c>
      <c r="V22" s="42">
        <f t="shared" si="44"/>
        <v>0.1</v>
      </c>
      <c r="W22" s="42">
        <f t="shared" si="44"/>
        <v>-0.1</v>
      </c>
      <c r="X22" s="29">
        <f t="shared" si="25"/>
        <v>0</v>
      </c>
      <c r="Y22" s="21">
        <f t="shared" si="5"/>
        <v>0</v>
      </c>
      <c r="Z22" s="17">
        <f t="shared" si="6"/>
        <v>0</v>
      </c>
      <c r="AA22" s="17">
        <f t="shared" si="45"/>
        <v>0</v>
      </c>
      <c r="AB22" s="12">
        <v>1</v>
      </c>
      <c r="AC22" s="16">
        <f t="shared" si="27"/>
        <v>0</v>
      </c>
      <c r="AD22" s="17">
        <f t="shared" si="45"/>
        <v>0</v>
      </c>
      <c r="AE22" s="37"/>
      <c r="AF22" s="23">
        <f t="shared" si="28"/>
        <v>0</v>
      </c>
      <c r="AG22" s="12">
        <v>0.85</v>
      </c>
      <c r="AH22" s="37"/>
      <c r="AI22" s="23">
        <f t="shared" si="29"/>
        <v>0</v>
      </c>
      <c r="AJ22" s="37"/>
      <c r="AK22" s="23">
        <f t="shared" si="30"/>
        <v>0</v>
      </c>
      <c r="AL22" s="17">
        <f t="shared" si="31"/>
        <v>0</v>
      </c>
      <c r="AM22" s="17">
        <f t="shared" si="32"/>
        <v>0</v>
      </c>
      <c r="AN22" s="17">
        <v>0</v>
      </c>
      <c r="AO22" s="17">
        <f t="shared" si="43"/>
        <v>0</v>
      </c>
      <c r="AP22" s="17">
        <f t="shared" si="33"/>
        <v>0</v>
      </c>
      <c r="AQ22" s="44">
        <v>0</v>
      </c>
      <c r="AR22" s="17">
        <f t="shared" si="7"/>
        <v>0</v>
      </c>
      <c r="AS22" s="17">
        <f t="shared" si="34"/>
        <v>0</v>
      </c>
      <c r="AT22" s="44">
        <v>0</v>
      </c>
      <c r="AU22" s="17">
        <f t="shared" si="8"/>
        <v>0</v>
      </c>
      <c r="AV22" s="17">
        <f t="shared" si="35"/>
        <v>0</v>
      </c>
      <c r="AW22" s="53">
        <f t="shared" si="9"/>
        <v>0</v>
      </c>
      <c r="AX22" s="17">
        <f t="shared" si="10"/>
        <v>0</v>
      </c>
      <c r="AY22" s="17">
        <f t="shared" si="36"/>
        <v>0</v>
      </c>
      <c r="AZ22" s="22">
        <f t="shared" si="37"/>
        <v>0.12</v>
      </c>
      <c r="BA22" s="22">
        <f t="shared" si="11"/>
        <v>0.1</v>
      </c>
      <c r="BB22" s="22">
        <f t="shared" si="12"/>
        <v>0.1</v>
      </c>
    </row>
    <row r="23" spans="1:54" ht="18.75" thickBot="1" x14ac:dyDescent="0.4">
      <c r="A23" s="5">
        <f t="shared" si="19"/>
        <v>45586</v>
      </c>
      <c r="B23" s="37">
        <f t="shared" si="42"/>
        <v>0</v>
      </c>
      <c r="C23" s="29">
        <f t="shared" si="13"/>
        <v>0</v>
      </c>
      <c r="D23" s="37">
        <f t="shared" si="41"/>
        <v>0</v>
      </c>
      <c r="E23" s="29">
        <f t="shared" si="14"/>
        <v>0</v>
      </c>
      <c r="F23" s="37">
        <f t="shared" si="41"/>
        <v>0</v>
      </c>
      <c r="G23" s="29">
        <f t="shared" si="15"/>
        <v>0</v>
      </c>
      <c r="H23" s="37">
        <f t="shared" si="41"/>
        <v>0</v>
      </c>
      <c r="I23" s="29">
        <f t="shared" si="16"/>
        <v>0</v>
      </c>
      <c r="J23" s="17">
        <f t="shared" si="38"/>
        <v>0</v>
      </c>
      <c r="K23" s="16">
        <f t="shared" si="40"/>
        <v>0</v>
      </c>
      <c r="L23" s="20">
        <f t="shared" si="20"/>
        <v>0</v>
      </c>
      <c r="M23" s="19">
        <f t="shared" si="21"/>
        <v>26</v>
      </c>
      <c r="N23" s="50">
        <v>0</v>
      </c>
      <c r="O23" s="29">
        <f t="shared" si="22"/>
        <v>0</v>
      </c>
      <c r="P23" s="17">
        <f t="shared" si="4"/>
        <v>0</v>
      </c>
      <c r="Q23" s="20">
        <f t="shared" si="39"/>
        <v>0</v>
      </c>
      <c r="R23" s="42">
        <f t="shared" si="23"/>
        <v>0.2</v>
      </c>
      <c r="S23" s="17" t="b">
        <f t="shared" si="17"/>
        <v>0</v>
      </c>
      <c r="T23" s="42">
        <f t="shared" si="44"/>
        <v>-0.2</v>
      </c>
      <c r="U23" s="17" t="b">
        <f t="shared" si="17"/>
        <v>0</v>
      </c>
      <c r="V23" s="42">
        <f t="shared" si="44"/>
        <v>0.1</v>
      </c>
      <c r="W23" s="42">
        <f t="shared" si="44"/>
        <v>-0.1</v>
      </c>
      <c r="X23" s="29">
        <f t="shared" si="25"/>
        <v>0</v>
      </c>
      <c r="Y23" s="21">
        <f t="shared" si="5"/>
        <v>0</v>
      </c>
      <c r="Z23" s="17">
        <f t="shared" si="6"/>
        <v>0</v>
      </c>
      <c r="AA23" s="17">
        <f t="shared" si="45"/>
        <v>0</v>
      </c>
      <c r="AB23" s="12">
        <v>1</v>
      </c>
      <c r="AC23" s="16">
        <f t="shared" si="27"/>
        <v>0</v>
      </c>
      <c r="AD23" s="17">
        <f t="shared" si="45"/>
        <v>0</v>
      </c>
      <c r="AE23" s="37"/>
      <c r="AF23" s="23">
        <f t="shared" si="28"/>
        <v>0</v>
      </c>
      <c r="AG23" s="12">
        <v>0.85</v>
      </c>
      <c r="AH23" s="37"/>
      <c r="AI23" s="23">
        <f t="shared" si="29"/>
        <v>0</v>
      </c>
      <c r="AJ23" s="37"/>
      <c r="AK23" s="23">
        <f t="shared" si="30"/>
        <v>0</v>
      </c>
      <c r="AL23" s="17">
        <f t="shared" si="31"/>
        <v>0</v>
      </c>
      <c r="AM23" s="17">
        <f t="shared" si="32"/>
        <v>0</v>
      </c>
      <c r="AN23" s="17">
        <v>0</v>
      </c>
      <c r="AO23" s="17">
        <f t="shared" si="43"/>
        <v>0</v>
      </c>
      <c r="AP23" s="17">
        <f t="shared" si="33"/>
        <v>0</v>
      </c>
      <c r="AQ23" s="44">
        <v>0</v>
      </c>
      <c r="AR23" s="17">
        <f t="shared" si="7"/>
        <v>0</v>
      </c>
      <c r="AS23" s="17">
        <f t="shared" si="34"/>
        <v>0</v>
      </c>
      <c r="AT23" s="44">
        <v>0</v>
      </c>
      <c r="AU23" s="17">
        <f t="shared" si="8"/>
        <v>0</v>
      </c>
      <c r="AV23" s="17">
        <f t="shared" si="35"/>
        <v>0</v>
      </c>
      <c r="AW23" s="53">
        <f t="shared" si="9"/>
        <v>0</v>
      </c>
      <c r="AX23" s="17">
        <f t="shared" si="10"/>
        <v>0</v>
      </c>
      <c r="AY23" s="17">
        <f t="shared" si="36"/>
        <v>0</v>
      </c>
      <c r="AZ23" s="22">
        <f t="shared" si="37"/>
        <v>0.12</v>
      </c>
      <c r="BA23" s="22">
        <f t="shared" si="11"/>
        <v>0.1</v>
      </c>
      <c r="BB23" s="22">
        <f t="shared" si="12"/>
        <v>0.1</v>
      </c>
    </row>
    <row r="24" spans="1:54" ht="18.75" thickBot="1" x14ac:dyDescent="0.4">
      <c r="A24" s="5">
        <f t="shared" si="19"/>
        <v>45600</v>
      </c>
      <c r="B24" s="37">
        <f t="shared" si="42"/>
        <v>0</v>
      </c>
      <c r="C24" s="29">
        <f t="shared" si="13"/>
        <v>0</v>
      </c>
      <c r="D24" s="37">
        <f t="shared" si="41"/>
        <v>0</v>
      </c>
      <c r="E24" s="29">
        <f t="shared" si="14"/>
        <v>0</v>
      </c>
      <c r="F24" s="37">
        <f t="shared" si="41"/>
        <v>0</v>
      </c>
      <c r="G24" s="29">
        <f t="shared" si="15"/>
        <v>0</v>
      </c>
      <c r="H24" s="37">
        <f t="shared" si="41"/>
        <v>0</v>
      </c>
      <c r="I24" s="29">
        <f t="shared" si="16"/>
        <v>0</v>
      </c>
      <c r="J24" s="17">
        <f t="shared" si="38"/>
        <v>0</v>
      </c>
      <c r="K24" s="16">
        <f t="shared" si="40"/>
        <v>0</v>
      </c>
      <c r="L24" s="20">
        <f t="shared" si="20"/>
        <v>0</v>
      </c>
      <c r="M24" s="19">
        <f t="shared" si="21"/>
        <v>26</v>
      </c>
      <c r="N24" s="50">
        <v>0</v>
      </c>
      <c r="O24" s="29">
        <f t="shared" si="22"/>
        <v>0</v>
      </c>
      <c r="P24" s="17">
        <f t="shared" si="4"/>
        <v>0</v>
      </c>
      <c r="Q24" s="20">
        <f t="shared" si="39"/>
        <v>0</v>
      </c>
      <c r="R24" s="42">
        <f t="shared" si="23"/>
        <v>0.2</v>
      </c>
      <c r="S24" s="17" t="b">
        <f t="shared" si="17"/>
        <v>0</v>
      </c>
      <c r="T24" s="42">
        <f t="shared" si="44"/>
        <v>-0.2</v>
      </c>
      <c r="U24" s="17" t="b">
        <f t="shared" si="17"/>
        <v>0</v>
      </c>
      <c r="V24" s="42">
        <f t="shared" si="44"/>
        <v>0.1</v>
      </c>
      <c r="W24" s="42">
        <f t="shared" si="44"/>
        <v>-0.1</v>
      </c>
      <c r="X24" s="29">
        <f t="shared" si="25"/>
        <v>0</v>
      </c>
      <c r="Y24" s="21">
        <f t="shared" si="5"/>
        <v>0</v>
      </c>
      <c r="Z24" s="17">
        <f t="shared" si="6"/>
        <v>0</v>
      </c>
      <c r="AA24" s="17">
        <f t="shared" si="45"/>
        <v>0</v>
      </c>
      <c r="AB24" s="12">
        <v>1</v>
      </c>
      <c r="AC24" s="16">
        <f t="shared" si="27"/>
        <v>0</v>
      </c>
      <c r="AD24" s="17">
        <f t="shared" si="45"/>
        <v>0</v>
      </c>
      <c r="AE24" s="37"/>
      <c r="AF24" s="23">
        <f t="shared" si="28"/>
        <v>0</v>
      </c>
      <c r="AG24" s="12">
        <v>0.85</v>
      </c>
      <c r="AH24" s="37"/>
      <c r="AI24" s="23">
        <f t="shared" si="29"/>
        <v>0</v>
      </c>
      <c r="AJ24" s="37"/>
      <c r="AK24" s="23">
        <f t="shared" si="30"/>
        <v>0</v>
      </c>
      <c r="AL24" s="17">
        <f t="shared" si="31"/>
        <v>0</v>
      </c>
      <c r="AM24" s="17">
        <f t="shared" si="32"/>
        <v>0</v>
      </c>
      <c r="AN24" s="17">
        <v>0</v>
      </c>
      <c r="AO24" s="17">
        <f t="shared" si="43"/>
        <v>0</v>
      </c>
      <c r="AP24" s="17">
        <f t="shared" si="33"/>
        <v>0</v>
      </c>
      <c r="AQ24" s="44">
        <v>0</v>
      </c>
      <c r="AR24" s="17">
        <f t="shared" si="7"/>
        <v>0</v>
      </c>
      <c r="AS24" s="17">
        <f t="shared" si="34"/>
        <v>0</v>
      </c>
      <c r="AT24" s="44">
        <v>0</v>
      </c>
      <c r="AU24" s="17">
        <f t="shared" si="8"/>
        <v>0</v>
      </c>
      <c r="AV24" s="17">
        <f t="shared" si="35"/>
        <v>0</v>
      </c>
      <c r="AW24" s="53">
        <f t="shared" si="9"/>
        <v>0</v>
      </c>
      <c r="AX24" s="17">
        <f t="shared" si="10"/>
        <v>0</v>
      </c>
      <c r="AY24" s="17">
        <f t="shared" si="36"/>
        <v>0</v>
      </c>
      <c r="AZ24" s="22">
        <f t="shared" si="37"/>
        <v>0.12</v>
      </c>
      <c r="BA24" s="22">
        <f t="shared" si="11"/>
        <v>0.1</v>
      </c>
      <c r="BB24" s="22">
        <f t="shared" si="12"/>
        <v>0.1</v>
      </c>
    </row>
    <row r="25" spans="1:54" ht="18.75" thickBot="1" x14ac:dyDescent="0.4">
      <c r="A25" s="5">
        <f t="shared" si="19"/>
        <v>45614</v>
      </c>
      <c r="B25" s="37">
        <f t="shared" si="42"/>
        <v>0</v>
      </c>
      <c r="C25" s="29">
        <f t="shared" si="13"/>
        <v>0</v>
      </c>
      <c r="D25" s="37">
        <f t="shared" si="41"/>
        <v>0</v>
      </c>
      <c r="E25" s="29">
        <f t="shared" si="14"/>
        <v>0</v>
      </c>
      <c r="F25" s="37">
        <f t="shared" si="41"/>
        <v>0</v>
      </c>
      <c r="G25" s="29">
        <f t="shared" si="15"/>
        <v>0</v>
      </c>
      <c r="H25" s="37">
        <f t="shared" si="41"/>
        <v>0</v>
      </c>
      <c r="I25" s="29">
        <f t="shared" si="16"/>
        <v>0</v>
      </c>
      <c r="J25" s="17">
        <f t="shared" si="38"/>
        <v>0</v>
      </c>
      <c r="K25" s="16">
        <f t="shared" si="40"/>
        <v>0</v>
      </c>
      <c r="L25" s="20">
        <f t="shared" si="20"/>
        <v>0</v>
      </c>
      <c r="M25" s="19">
        <f t="shared" si="21"/>
        <v>26</v>
      </c>
      <c r="N25" s="50">
        <v>0</v>
      </c>
      <c r="O25" s="29">
        <f t="shared" si="22"/>
        <v>0</v>
      </c>
      <c r="P25" s="17">
        <f t="shared" si="4"/>
        <v>0</v>
      </c>
      <c r="Q25" s="20">
        <f t="shared" si="39"/>
        <v>0</v>
      </c>
      <c r="R25" s="42">
        <f t="shared" si="23"/>
        <v>0.2</v>
      </c>
      <c r="S25" s="17" t="b">
        <f t="shared" si="17"/>
        <v>0</v>
      </c>
      <c r="T25" s="42">
        <f t="shared" si="44"/>
        <v>-0.2</v>
      </c>
      <c r="U25" s="17" t="b">
        <f t="shared" si="17"/>
        <v>0</v>
      </c>
      <c r="V25" s="42">
        <f t="shared" si="44"/>
        <v>0.1</v>
      </c>
      <c r="W25" s="42">
        <f t="shared" si="44"/>
        <v>-0.1</v>
      </c>
      <c r="X25" s="29">
        <f t="shared" si="25"/>
        <v>0</v>
      </c>
      <c r="Y25" s="21">
        <f t="shared" si="5"/>
        <v>0</v>
      </c>
      <c r="Z25" s="17">
        <f t="shared" si="6"/>
        <v>0</v>
      </c>
      <c r="AA25" s="17">
        <f t="shared" si="45"/>
        <v>0</v>
      </c>
      <c r="AB25" s="12">
        <v>1</v>
      </c>
      <c r="AC25" s="16">
        <f t="shared" si="27"/>
        <v>0</v>
      </c>
      <c r="AD25" s="17">
        <f t="shared" si="45"/>
        <v>0</v>
      </c>
      <c r="AE25" s="37"/>
      <c r="AF25" s="23">
        <f t="shared" si="28"/>
        <v>0</v>
      </c>
      <c r="AG25" s="12">
        <v>0.85</v>
      </c>
      <c r="AH25" s="37"/>
      <c r="AI25" s="23">
        <f t="shared" si="29"/>
        <v>0</v>
      </c>
      <c r="AJ25" s="37"/>
      <c r="AK25" s="23">
        <f t="shared" si="30"/>
        <v>0</v>
      </c>
      <c r="AL25" s="17">
        <f t="shared" si="31"/>
        <v>0</v>
      </c>
      <c r="AM25" s="17">
        <f t="shared" si="32"/>
        <v>0</v>
      </c>
      <c r="AN25" s="17">
        <v>0</v>
      </c>
      <c r="AO25" s="17">
        <f t="shared" si="43"/>
        <v>0</v>
      </c>
      <c r="AP25" s="17">
        <f t="shared" si="33"/>
        <v>0</v>
      </c>
      <c r="AQ25" s="44">
        <v>0</v>
      </c>
      <c r="AR25" s="17">
        <f t="shared" si="7"/>
        <v>0</v>
      </c>
      <c r="AS25" s="17">
        <f t="shared" si="34"/>
        <v>0</v>
      </c>
      <c r="AT25" s="44">
        <v>0</v>
      </c>
      <c r="AU25" s="17">
        <f t="shared" si="8"/>
        <v>0</v>
      </c>
      <c r="AV25" s="17">
        <f t="shared" si="35"/>
        <v>0</v>
      </c>
      <c r="AW25" s="53">
        <f t="shared" si="9"/>
        <v>0</v>
      </c>
      <c r="AX25" s="17">
        <f t="shared" si="10"/>
        <v>0</v>
      </c>
      <c r="AY25" s="17">
        <f t="shared" si="36"/>
        <v>0</v>
      </c>
      <c r="AZ25" s="22">
        <f t="shared" si="37"/>
        <v>0.12</v>
      </c>
      <c r="BA25" s="22">
        <f t="shared" si="11"/>
        <v>0.1</v>
      </c>
      <c r="BB25" s="22">
        <f t="shared" si="12"/>
        <v>0.1</v>
      </c>
    </row>
    <row r="26" spans="1:54" ht="18.75" thickBot="1" x14ac:dyDescent="0.4">
      <c r="A26" s="5">
        <f t="shared" si="19"/>
        <v>45628</v>
      </c>
      <c r="B26" s="37">
        <f t="shared" si="42"/>
        <v>0</v>
      </c>
      <c r="C26" s="29">
        <f t="shared" si="13"/>
        <v>0</v>
      </c>
      <c r="D26" s="37">
        <f t="shared" si="41"/>
        <v>0</v>
      </c>
      <c r="E26" s="29">
        <f t="shared" si="14"/>
        <v>0</v>
      </c>
      <c r="F26" s="37">
        <f t="shared" si="41"/>
        <v>0</v>
      </c>
      <c r="G26" s="29">
        <f t="shared" si="15"/>
        <v>0</v>
      </c>
      <c r="H26" s="37">
        <f t="shared" si="41"/>
        <v>0</v>
      </c>
      <c r="I26" s="29">
        <f t="shared" si="16"/>
        <v>0</v>
      </c>
      <c r="J26" s="17">
        <f t="shared" si="38"/>
        <v>0</v>
      </c>
      <c r="K26" s="16">
        <f t="shared" si="40"/>
        <v>0</v>
      </c>
      <c r="L26" s="20">
        <f t="shared" si="20"/>
        <v>0</v>
      </c>
      <c r="M26" s="19">
        <f t="shared" si="21"/>
        <v>26</v>
      </c>
      <c r="N26" s="50">
        <v>0</v>
      </c>
      <c r="O26" s="29">
        <f t="shared" si="22"/>
        <v>0</v>
      </c>
      <c r="P26" s="17">
        <f t="shared" si="4"/>
        <v>0</v>
      </c>
      <c r="Q26" s="20">
        <f t="shared" si="39"/>
        <v>0</v>
      </c>
      <c r="R26" s="42">
        <f t="shared" si="23"/>
        <v>0.2</v>
      </c>
      <c r="S26" s="17" t="b">
        <f t="shared" si="17"/>
        <v>0</v>
      </c>
      <c r="T26" s="42">
        <f t="shared" si="44"/>
        <v>-0.2</v>
      </c>
      <c r="U26" s="17" t="b">
        <f t="shared" si="17"/>
        <v>0</v>
      </c>
      <c r="V26" s="42">
        <f t="shared" si="44"/>
        <v>0.1</v>
      </c>
      <c r="W26" s="42">
        <f t="shared" si="44"/>
        <v>-0.1</v>
      </c>
      <c r="X26" s="29">
        <f t="shared" si="25"/>
        <v>0</v>
      </c>
      <c r="Y26" s="21">
        <f t="shared" si="5"/>
        <v>0</v>
      </c>
      <c r="Z26" s="17">
        <f t="shared" si="6"/>
        <v>0</v>
      </c>
      <c r="AA26" s="17">
        <f t="shared" si="45"/>
        <v>0</v>
      </c>
      <c r="AB26" s="12">
        <v>1</v>
      </c>
      <c r="AC26" s="16">
        <f t="shared" si="27"/>
        <v>0</v>
      </c>
      <c r="AD26" s="17">
        <f t="shared" si="45"/>
        <v>0</v>
      </c>
      <c r="AE26" s="37"/>
      <c r="AF26" s="23">
        <f t="shared" si="28"/>
        <v>0</v>
      </c>
      <c r="AG26" s="12">
        <v>0.85</v>
      </c>
      <c r="AH26" s="37"/>
      <c r="AI26" s="23">
        <f t="shared" si="29"/>
        <v>0</v>
      </c>
      <c r="AJ26" s="37"/>
      <c r="AK26" s="23">
        <f t="shared" si="30"/>
        <v>0</v>
      </c>
      <c r="AL26" s="17">
        <f t="shared" si="31"/>
        <v>0</v>
      </c>
      <c r="AM26" s="17">
        <f t="shared" si="32"/>
        <v>0</v>
      </c>
      <c r="AN26" s="17">
        <v>0</v>
      </c>
      <c r="AO26" s="17">
        <f t="shared" si="43"/>
        <v>0</v>
      </c>
      <c r="AP26" s="17">
        <f t="shared" si="33"/>
        <v>0</v>
      </c>
      <c r="AQ26" s="44">
        <v>0</v>
      </c>
      <c r="AR26" s="17">
        <f t="shared" si="7"/>
        <v>0</v>
      </c>
      <c r="AS26" s="17">
        <f t="shared" si="34"/>
        <v>0</v>
      </c>
      <c r="AT26" s="44">
        <v>0</v>
      </c>
      <c r="AU26" s="17">
        <f t="shared" si="8"/>
        <v>0</v>
      </c>
      <c r="AV26" s="17">
        <f t="shared" si="35"/>
        <v>0</v>
      </c>
      <c r="AW26" s="53">
        <f t="shared" si="9"/>
        <v>0</v>
      </c>
      <c r="AX26" s="17">
        <f t="shared" si="10"/>
        <v>0</v>
      </c>
      <c r="AY26" s="17">
        <f t="shared" si="36"/>
        <v>0</v>
      </c>
      <c r="AZ26" s="22">
        <f t="shared" si="37"/>
        <v>0.12</v>
      </c>
      <c r="BA26" s="22">
        <f t="shared" si="11"/>
        <v>0.1</v>
      </c>
      <c r="BB26" s="22">
        <f t="shared" si="12"/>
        <v>0.1</v>
      </c>
    </row>
    <row r="27" spans="1:54" ht="18.75" thickBot="1" x14ac:dyDescent="0.4">
      <c r="A27" s="5">
        <f t="shared" si="19"/>
        <v>45642</v>
      </c>
      <c r="B27" s="37">
        <f t="shared" si="42"/>
        <v>0</v>
      </c>
      <c r="C27" s="29">
        <f t="shared" si="13"/>
        <v>0</v>
      </c>
      <c r="D27" s="37">
        <f t="shared" si="41"/>
        <v>0</v>
      </c>
      <c r="E27" s="29">
        <f t="shared" si="14"/>
        <v>0</v>
      </c>
      <c r="F27" s="37">
        <f t="shared" si="41"/>
        <v>0</v>
      </c>
      <c r="G27" s="29">
        <f t="shared" si="15"/>
        <v>0</v>
      </c>
      <c r="H27" s="37">
        <f t="shared" si="41"/>
        <v>0</v>
      </c>
      <c r="I27" s="29">
        <f t="shared" si="16"/>
        <v>0</v>
      </c>
      <c r="J27" s="17">
        <f t="shared" si="38"/>
        <v>0</v>
      </c>
      <c r="K27" s="16">
        <f t="shared" si="40"/>
        <v>0</v>
      </c>
      <c r="L27" s="20">
        <f t="shared" si="20"/>
        <v>0</v>
      </c>
      <c r="M27" s="19">
        <f t="shared" si="21"/>
        <v>26</v>
      </c>
      <c r="N27" s="50">
        <v>0</v>
      </c>
      <c r="O27" s="29">
        <f t="shared" si="22"/>
        <v>0</v>
      </c>
      <c r="P27" s="17">
        <f t="shared" si="4"/>
        <v>0</v>
      </c>
      <c r="Q27" s="20">
        <f t="shared" si="39"/>
        <v>0</v>
      </c>
      <c r="R27" s="42">
        <f t="shared" si="23"/>
        <v>0.2</v>
      </c>
      <c r="S27" s="17" t="b">
        <f t="shared" si="17"/>
        <v>0</v>
      </c>
      <c r="T27" s="42">
        <f t="shared" si="44"/>
        <v>-0.2</v>
      </c>
      <c r="U27" s="17" t="b">
        <f t="shared" si="17"/>
        <v>0</v>
      </c>
      <c r="V27" s="42">
        <f t="shared" si="44"/>
        <v>0.1</v>
      </c>
      <c r="W27" s="42">
        <f t="shared" si="44"/>
        <v>-0.1</v>
      </c>
      <c r="X27" s="29">
        <f t="shared" si="25"/>
        <v>0</v>
      </c>
      <c r="Y27" s="21">
        <f t="shared" si="5"/>
        <v>0</v>
      </c>
      <c r="Z27" s="17">
        <f t="shared" si="6"/>
        <v>0</v>
      </c>
      <c r="AA27" s="17">
        <f t="shared" si="45"/>
        <v>0</v>
      </c>
      <c r="AB27" s="12">
        <v>1</v>
      </c>
      <c r="AC27" s="16">
        <f t="shared" si="27"/>
        <v>0</v>
      </c>
      <c r="AD27" s="17">
        <f t="shared" si="45"/>
        <v>0</v>
      </c>
      <c r="AE27" s="37"/>
      <c r="AF27" s="23">
        <f t="shared" si="28"/>
        <v>0</v>
      </c>
      <c r="AG27" s="12">
        <v>0.85</v>
      </c>
      <c r="AH27" s="37"/>
      <c r="AI27" s="23">
        <f t="shared" si="29"/>
        <v>0</v>
      </c>
      <c r="AJ27" s="37"/>
      <c r="AK27" s="23">
        <f t="shared" si="30"/>
        <v>0</v>
      </c>
      <c r="AL27" s="17">
        <f t="shared" si="31"/>
        <v>0</v>
      </c>
      <c r="AM27" s="17">
        <f t="shared" si="32"/>
        <v>0</v>
      </c>
      <c r="AN27" s="17">
        <v>0</v>
      </c>
      <c r="AO27" s="17">
        <f t="shared" si="43"/>
        <v>0</v>
      </c>
      <c r="AP27" s="17">
        <f t="shared" si="33"/>
        <v>0</v>
      </c>
      <c r="AQ27" s="44">
        <v>0</v>
      </c>
      <c r="AR27" s="17">
        <f t="shared" si="7"/>
        <v>0</v>
      </c>
      <c r="AS27" s="17">
        <f t="shared" si="34"/>
        <v>0</v>
      </c>
      <c r="AT27" s="44">
        <v>0</v>
      </c>
      <c r="AU27" s="17">
        <f t="shared" si="8"/>
        <v>0</v>
      </c>
      <c r="AV27" s="17">
        <f t="shared" si="35"/>
        <v>0</v>
      </c>
      <c r="AW27" s="53">
        <f t="shared" si="9"/>
        <v>0</v>
      </c>
      <c r="AX27" s="17">
        <f t="shared" si="10"/>
        <v>0</v>
      </c>
      <c r="AY27" s="17">
        <f t="shared" si="36"/>
        <v>0</v>
      </c>
      <c r="AZ27" s="22">
        <f t="shared" si="37"/>
        <v>0.12</v>
      </c>
      <c r="BA27" s="22">
        <f t="shared" si="11"/>
        <v>0.1</v>
      </c>
      <c r="BB27" s="22">
        <f t="shared" si="12"/>
        <v>0.1</v>
      </c>
    </row>
    <row r="28" spans="1:54" ht="18.75" thickBot="1" x14ac:dyDescent="0.4">
      <c r="A28" s="5">
        <f t="shared" si="19"/>
        <v>45656</v>
      </c>
      <c r="B28" s="37">
        <f t="shared" si="42"/>
        <v>0</v>
      </c>
      <c r="C28" s="29">
        <f t="shared" si="13"/>
        <v>0</v>
      </c>
      <c r="D28" s="37">
        <f t="shared" si="41"/>
        <v>0</v>
      </c>
      <c r="E28" s="29">
        <f t="shared" si="14"/>
        <v>0</v>
      </c>
      <c r="F28" s="37">
        <f t="shared" si="41"/>
        <v>0</v>
      </c>
      <c r="G28" s="29">
        <f t="shared" si="15"/>
        <v>0</v>
      </c>
      <c r="H28" s="37">
        <f t="shared" si="41"/>
        <v>0</v>
      </c>
      <c r="I28" s="29">
        <f t="shared" si="16"/>
        <v>0</v>
      </c>
      <c r="J28" s="17">
        <f t="shared" si="38"/>
        <v>0</v>
      </c>
      <c r="K28" s="16">
        <f t="shared" si="40"/>
        <v>0</v>
      </c>
      <c r="L28" s="20">
        <f t="shared" si="20"/>
        <v>0</v>
      </c>
      <c r="M28" s="19">
        <f t="shared" si="21"/>
        <v>26</v>
      </c>
      <c r="N28" s="50">
        <v>0</v>
      </c>
      <c r="O28" s="29">
        <f t="shared" si="22"/>
        <v>0</v>
      </c>
      <c r="P28" s="17">
        <f t="shared" si="4"/>
        <v>0</v>
      </c>
      <c r="Q28" s="20">
        <f t="shared" si="39"/>
        <v>0</v>
      </c>
      <c r="R28" s="42">
        <f t="shared" si="23"/>
        <v>0.2</v>
      </c>
      <c r="S28" s="17" t="b">
        <f t="shared" si="17"/>
        <v>0</v>
      </c>
      <c r="T28" s="42">
        <f t="shared" si="44"/>
        <v>-0.2</v>
      </c>
      <c r="U28" s="17" t="b">
        <f t="shared" si="17"/>
        <v>0</v>
      </c>
      <c r="V28" s="42">
        <f t="shared" si="44"/>
        <v>0.1</v>
      </c>
      <c r="W28" s="42">
        <f t="shared" si="44"/>
        <v>-0.1</v>
      </c>
      <c r="X28" s="29">
        <f t="shared" si="25"/>
        <v>0</v>
      </c>
      <c r="Y28" s="21">
        <f t="shared" si="5"/>
        <v>0</v>
      </c>
      <c r="Z28" s="17">
        <f t="shared" si="6"/>
        <v>0</v>
      </c>
      <c r="AA28" s="17">
        <f t="shared" si="45"/>
        <v>0</v>
      </c>
      <c r="AB28" s="12">
        <v>1</v>
      </c>
      <c r="AC28" s="26">
        <f t="shared" si="27"/>
        <v>0</v>
      </c>
      <c r="AD28" s="17">
        <f t="shared" si="45"/>
        <v>0</v>
      </c>
      <c r="AE28" s="47"/>
      <c r="AF28" s="23">
        <f t="shared" si="28"/>
        <v>0</v>
      </c>
      <c r="AG28" s="12">
        <v>0.85</v>
      </c>
      <c r="AH28" s="47"/>
      <c r="AI28" s="23">
        <f t="shared" si="29"/>
        <v>0</v>
      </c>
      <c r="AJ28" s="47"/>
      <c r="AK28" s="23">
        <f t="shared" si="30"/>
        <v>0</v>
      </c>
      <c r="AL28" s="17">
        <f t="shared" si="31"/>
        <v>0</v>
      </c>
      <c r="AM28" s="17">
        <f t="shared" si="32"/>
        <v>0</v>
      </c>
      <c r="AN28" s="17">
        <v>0</v>
      </c>
      <c r="AO28" s="17">
        <f t="shared" si="43"/>
        <v>0</v>
      </c>
      <c r="AP28" s="17">
        <f t="shared" si="33"/>
        <v>0</v>
      </c>
      <c r="AQ28" s="44">
        <v>0</v>
      </c>
      <c r="AR28" s="17">
        <f t="shared" si="7"/>
        <v>0</v>
      </c>
      <c r="AS28" s="17">
        <f t="shared" si="34"/>
        <v>0</v>
      </c>
      <c r="AT28" s="44">
        <v>0</v>
      </c>
      <c r="AU28" s="17">
        <f t="shared" si="8"/>
        <v>0</v>
      </c>
      <c r="AV28" s="17">
        <f t="shared" si="35"/>
        <v>0</v>
      </c>
      <c r="AW28" s="53">
        <f t="shared" si="9"/>
        <v>0</v>
      </c>
      <c r="AX28" s="17">
        <f t="shared" si="10"/>
        <v>0</v>
      </c>
      <c r="AY28" s="17">
        <f t="shared" si="36"/>
        <v>0</v>
      </c>
      <c r="AZ28" s="22">
        <f t="shared" si="37"/>
        <v>0.12</v>
      </c>
      <c r="BA28" s="22">
        <f t="shared" si="11"/>
        <v>0.1</v>
      </c>
      <c r="BB28" s="22">
        <f t="shared" si="12"/>
        <v>0.1</v>
      </c>
    </row>
    <row r="29" spans="1:54" ht="18.75" thickBot="1" x14ac:dyDescent="0.4">
      <c r="A29" s="51" t="s">
        <v>13</v>
      </c>
      <c r="Y29" s="32">
        <f>SUM(Y2:Y28)</f>
        <v>2.0032375788133351E-3</v>
      </c>
      <c r="Z29" s="31">
        <f>SUM(Z2:Z28)</f>
        <v>0</v>
      </c>
      <c r="AC29" s="31">
        <f>SUM(AC2:AC28)</f>
        <v>0</v>
      </c>
      <c r="AE29" s="31">
        <f>SUM(AE2:AE28)</f>
        <v>0</v>
      </c>
      <c r="AH29" s="31">
        <f>SUM(AH2:AH28)</f>
        <v>0</v>
      </c>
      <c r="AJ29" s="31">
        <f>SUM(AJ2:AJ28)</f>
        <v>0</v>
      </c>
      <c r="AL29" s="31">
        <f>SUM(AL2:AL28)</f>
        <v>0</v>
      </c>
      <c r="AO29" s="31">
        <f>SUM(AO2:AO28)</f>
        <v>0</v>
      </c>
      <c r="AR29" s="31">
        <f>SUM(AR2:AR28)</f>
        <v>0</v>
      </c>
      <c r="AU29" s="31">
        <f>SUM(AU2:AU28)</f>
        <v>0</v>
      </c>
      <c r="AW29" s="31">
        <f>0*$J$34</f>
        <v>0</v>
      </c>
    </row>
    <row r="30" spans="1:54" ht="17.25" thickBot="1" x14ac:dyDescent="0.35"/>
    <row r="31" spans="1:54" ht="36.75" thickBot="1" x14ac:dyDescent="0.4">
      <c r="J31" s="65" t="s">
        <v>83</v>
      </c>
    </row>
    <row r="32" spans="1:54" ht="18.75" thickBot="1" x14ac:dyDescent="0.4">
      <c r="D32" s="57"/>
      <c r="F32" s="57"/>
      <c r="H32" s="57"/>
      <c r="J32" s="66">
        <v>1000000</v>
      </c>
      <c r="AC32" s="60" t="s">
        <v>86</v>
      </c>
      <c r="AD32" s="61"/>
    </row>
    <row r="33" spans="4:30" ht="18.75" thickBot="1" x14ac:dyDescent="0.4">
      <c r="D33" s="57"/>
      <c r="F33" s="57"/>
      <c r="H33" s="57"/>
      <c r="J33" s="64" t="e">
        <f>J32/J2</f>
        <v>#DIV/0!</v>
      </c>
      <c r="K33" s="64" t="s">
        <v>84</v>
      </c>
      <c r="AA33" s="28"/>
      <c r="AC33" s="59"/>
      <c r="AD33" s="62"/>
    </row>
    <row r="34" spans="4:30" ht="18.75" thickBot="1" x14ac:dyDescent="0.4">
      <c r="D34" s="57"/>
      <c r="F34" s="57"/>
      <c r="J34" s="64">
        <v>1</v>
      </c>
      <c r="K34" s="64" t="s">
        <v>85</v>
      </c>
      <c r="AC34" s="16"/>
      <c r="AD34" s="63"/>
    </row>
    <row r="35" spans="4:30" ht="18" x14ac:dyDescent="0.35">
      <c r="D35" s="57"/>
      <c r="H35" s="57"/>
      <c r="AC35" s="16"/>
      <c r="AD35" s="63"/>
    </row>
    <row r="36" spans="4:30" ht="18" x14ac:dyDescent="0.35">
      <c r="D36" s="57"/>
      <c r="AC36" s="16"/>
      <c r="AD36" s="63"/>
    </row>
    <row r="37" spans="4:30" ht="18" x14ac:dyDescent="0.35">
      <c r="AC37" s="16"/>
      <c r="AD37" s="63"/>
    </row>
    <row r="38" spans="4:30" ht="18" x14ac:dyDescent="0.35">
      <c r="AC38" s="16"/>
      <c r="AD38" s="63"/>
    </row>
    <row r="58" spans="2:19" ht="18" x14ac:dyDescent="0.35">
      <c r="B58" s="67" t="s">
        <v>87</v>
      </c>
      <c r="J58" s="67" t="s">
        <v>88</v>
      </c>
      <c r="S58" s="67" t="s">
        <v>89</v>
      </c>
    </row>
  </sheetData>
  <conditionalFormatting sqref="BA2:BB28">
    <cfRule type="cellIs" dxfId="1" priority="1" operator="greaterThan">
      <formula>$AZ$2</formula>
    </cfRule>
    <cfRule type="cellIs" dxfId="0" priority="2" operator="greaterThan">
      <formula>"2$AS$2"</formula>
    </cfRule>
  </conditionalFormatting>
  <pageMargins left="0.75" right="0.75" top="0.75" bottom="0.5" header="0.5" footer="0.75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Instructions</vt:lpstr>
      <vt:lpstr>GK Cash Flow 2017</vt:lpstr>
      <vt:lpstr>GK Cash Flow 2018</vt:lpstr>
      <vt:lpstr>GK Cash Flow 2019</vt:lpstr>
      <vt:lpstr>GK Cash Flow 2020</vt:lpstr>
      <vt:lpstr>GK Cash Flow 2021</vt:lpstr>
      <vt:lpstr>GK Cash Flow 2022</vt:lpstr>
      <vt:lpstr>GK Cash Flow 2023 N</vt:lpstr>
      <vt:lpstr>GK Cash Flow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My Retirement Withdrawal Tracker</dc:title>
  <dc:creator>CaveArnold@tricconsulting.com</dc:creator>
  <cp:keywords>Retirement, Guyton Klinger, Withdrawal</cp:keywords>
  <cp:lastModifiedBy>Cave Arnold</cp:lastModifiedBy>
  <dcterms:created xsi:type="dcterms:W3CDTF">2019-05-18T02:23:20Z</dcterms:created>
  <dcterms:modified xsi:type="dcterms:W3CDTF">2023-05-29T19:04:33Z</dcterms:modified>
</cp:coreProperties>
</file>