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yceb\Google Drive\Projects\School\Fall 2019\MECH-10\"/>
    </mc:Choice>
  </mc:AlternateContent>
  <xr:revisionPtr revIDLastSave="0" documentId="13_ncr:1_{FF2D0866-7A20-4685-97DB-1BBC5A4264F5}" xr6:coauthVersionLast="41" xr6:coauthVersionMax="41" xr10:uidLastSave="{00000000-0000-0000-0000-000000000000}"/>
  <workbookProtection lockStructure="1"/>
  <bookViews>
    <workbookView xWindow="420" yWindow="360" windowWidth="23115" windowHeight="12480" tabRatio="673" activeTab="1" xr2:uid="{00000000-000D-0000-FFFF-FFFF00000000}"/>
  </bookViews>
  <sheets>
    <sheet name="MECH 10 - Lab 04" sheetId="3" r:id="rId1"/>
    <sheet name="MECH 10 - Lab 06" sheetId="4" r:id="rId2"/>
    <sheet name="MECH 10 Lab 07" sheetId="10" r:id="rId3"/>
    <sheet name="MECH 10 Lab 08" sheetId="13" r:id="rId4"/>
    <sheet name="MECH 10 - Lab 09" sheetId="2" r:id="rId5"/>
    <sheet name="MECH 10 - Lab 12" sheetId="6" r:id="rId6"/>
    <sheet name="MECH 10 - Lab 13" sheetId="8" r:id="rId7"/>
    <sheet name="MECH 10 - Lab 14" sheetId="14" r:id="rId8"/>
    <sheet name="MECH 10 - Lab 15" sheetId="12" r:id="rId9"/>
    <sheet name="MECH 10 - Lab 17" sheetId="7" r:id="rId10"/>
    <sheet name="MECH 10 - Lab 18" sheetId="11" r:id="rId11"/>
    <sheet name="MECH 10 - Lab 20" sheetId="5" r:id="rId12"/>
    <sheet name="MECH 10 - Lab 24" sheetId="1" r:id="rId13"/>
    <sheet name="MECH 10 - Lab 27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4" l="1"/>
  <c r="C16" i="4"/>
  <c r="C14" i="4"/>
  <c r="J20" i="3" l="1"/>
  <c r="E22" i="14"/>
  <c r="E23" i="14"/>
  <c r="E24" i="14"/>
  <c r="E25" i="14"/>
  <c r="E26" i="14"/>
  <c r="E27" i="14"/>
  <c r="E28" i="14"/>
  <c r="E21" i="14"/>
  <c r="D21" i="14"/>
  <c r="D22" i="14"/>
  <c r="D23" i="14"/>
  <c r="D24" i="14"/>
  <c r="D25" i="14"/>
  <c r="D26" i="14"/>
  <c r="D27" i="14"/>
  <c r="D28" i="14"/>
  <c r="E5" i="14"/>
  <c r="D11" i="14"/>
  <c r="E11" i="14"/>
  <c r="E6" i="14"/>
  <c r="E7" i="14"/>
  <c r="E8" i="14"/>
  <c r="E9" i="14"/>
  <c r="E10" i="14"/>
  <c r="E12" i="14"/>
  <c r="D5" i="14"/>
  <c r="B23" i="6"/>
  <c r="F23" i="6" s="1"/>
  <c r="C23" i="6"/>
  <c r="E5" i="2"/>
  <c r="D37" i="2"/>
  <c r="D5" i="2"/>
  <c r="D10" i="14"/>
  <c r="D12" i="14"/>
  <c r="D6" i="14"/>
  <c r="D7" i="14"/>
  <c r="D8" i="14"/>
  <c r="D9" i="14"/>
  <c r="D18" i="13"/>
  <c r="D19" i="13"/>
  <c r="F19" i="13"/>
  <c r="F18" i="13"/>
  <c r="E18" i="13" s="1"/>
  <c r="D20" i="13"/>
  <c r="G18" i="13"/>
  <c r="B21" i="13"/>
  <c r="F2" i="12"/>
  <c r="E7" i="12"/>
  <c r="J5" i="5"/>
  <c r="D22" i="9"/>
  <c r="G19" i="13"/>
  <c r="E19" i="13" s="1"/>
  <c r="C21" i="13"/>
  <c r="M16" i="11"/>
  <c r="H16" i="11"/>
  <c r="E2" i="12"/>
  <c r="E37" i="2"/>
  <c r="H5" i="10"/>
  <c r="J5" i="10" s="1"/>
  <c r="H4" i="10"/>
  <c r="J4" i="10" s="1"/>
  <c r="E12" i="13"/>
  <c r="E11" i="13"/>
  <c r="E5" i="13"/>
  <c r="E4" i="13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27" i="2"/>
  <c r="E27" i="2" s="1"/>
  <c r="D22" i="2"/>
  <c r="E22" i="2" s="1"/>
  <c r="D23" i="2"/>
  <c r="E23" i="2" s="1"/>
  <c r="D24" i="2"/>
  <c r="E24" i="2" s="1"/>
  <c r="D25" i="2"/>
  <c r="E25" i="2" s="1"/>
  <c r="D26" i="2"/>
  <c r="E26" i="2" s="1"/>
  <c r="D21" i="2"/>
  <c r="E21" i="2" s="1"/>
  <c r="D7" i="2"/>
  <c r="E7" i="2" s="1"/>
  <c r="D6" i="2"/>
  <c r="E6" i="2" s="1"/>
  <c r="D9" i="2"/>
  <c r="E9" i="2" s="1"/>
  <c r="D8" i="2"/>
  <c r="E8" i="2" s="1"/>
  <c r="R9" i="4"/>
  <c r="R7" i="4"/>
  <c r="O9" i="4"/>
  <c r="O6" i="4"/>
  <c r="O7" i="4"/>
  <c r="O8" i="4"/>
  <c r="O5" i="4"/>
  <c r="J6" i="4"/>
  <c r="J7" i="4"/>
  <c r="J8" i="4"/>
  <c r="J5" i="4"/>
  <c r="E6" i="4"/>
  <c r="E5" i="4"/>
  <c r="C20" i="10"/>
  <c r="C19" i="10"/>
  <c r="C18" i="10"/>
  <c r="C17" i="10"/>
  <c r="C12" i="10"/>
  <c r="C11" i="10"/>
  <c r="C10" i="10"/>
  <c r="C5" i="10"/>
  <c r="C4" i="10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15" i="1"/>
  <c r="Q4" i="11"/>
  <c r="Q12" i="11"/>
  <c r="B16" i="11"/>
  <c r="H2" i="12"/>
  <c r="J2" i="12" s="1"/>
  <c r="H3" i="12"/>
  <c r="J3" i="12" s="1"/>
  <c r="H4" i="12"/>
  <c r="J4" i="12" s="1"/>
  <c r="H7" i="12"/>
  <c r="J7" i="12" s="1"/>
  <c r="H8" i="12"/>
  <c r="J8" i="12" s="1"/>
  <c r="H9" i="12"/>
  <c r="J9" i="12" s="1"/>
  <c r="E3" i="12"/>
  <c r="E9" i="12"/>
  <c r="F9" i="12"/>
  <c r="E4" i="12"/>
  <c r="F4" i="12"/>
  <c r="M9" i="4"/>
  <c r="M16" i="4" s="1"/>
  <c r="M18" i="4" s="1"/>
  <c r="N18" i="4" s="1"/>
  <c r="M17" i="4"/>
  <c r="D14" i="1"/>
  <c r="D9" i="1"/>
  <c r="D8" i="1"/>
  <c r="D11" i="1"/>
  <c r="D12" i="1"/>
  <c r="D13" i="1"/>
  <c r="G2" i="11"/>
  <c r="G5" i="11" s="1"/>
  <c r="D19" i="3"/>
  <c r="D20" i="3"/>
  <c r="D21" i="3"/>
  <c r="D22" i="3"/>
  <c r="D23" i="3"/>
  <c r="D24" i="3"/>
  <c r="D25" i="3"/>
  <c r="D26" i="3"/>
  <c r="D18" i="3"/>
  <c r="C2" i="3"/>
  <c r="E2" i="3" s="1"/>
  <c r="L5" i="11"/>
  <c r="N4" i="11" s="1"/>
  <c r="O4" i="11" s="1"/>
  <c r="L6" i="11"/>
  <c r="B6" i="11"/>
  <c r="B7" i="11" s="1"/>
  <c r="F8" i="12"/>
  <c r="E8" i="12"/>
  <c r="F3" i="12"/>
  <c r="F7" i="12"/>
  <c r="E20" i="6"/>
  <c r="E19" i="6"/>
  <c r="H25" i="4"/>
  <c r="J25" i="4" s="1"/>
  <c r="H24" i="4"/>
  <c r="J24" i="4" s="1"/>
  <c r="H23" i="4"/>
  <c r="J23" i="4" s="1"/>
  <c r="H16" i="4"/>
  <c r="C15" i="4"/>
  <c r="D14" i="4" s="1"/>
  <c r="D2" i="1"/>
  <c r="L10" i="11"/>
  <c r="L13" i="11"/>
  <c r="N12" i="11" s="1"/>
  <c r="O12" i="11" s="1"/>
  <c r="G10" i="11"/>
  <c r="G13" i="11"/>
  <c r="I12" i="11" s="1"/>
  <c r="J12" i="11" s="1"/>
  <c r="G14" i="11"/>
  <c r="B10" i="11"/>
  <c r="B13" i="11"/>
  <c r="B14" i="11"/>
  <c r="B5" i="6"/>
  <c r="C5" i="6" s="1"/>
  <c r="H8" i="4"/>
  <c r="H15" i="4" s="1"/>
  <c r="C3" i="3"/>
  <c r="E3" i="3" s="1"/>
  <c r="C4" i="3"/>
  <c r="E4" i="3" s="1"/>
  <c r="D36" i="9"/>
  <c r="J32" i="5"/>
  <c r="L32" i="5"/>
  <c r="J31" i="5"/>
  <c r="L31" i="5"/>
  <c r="J30" i="5"/>
  <c r="L30" i="5"/>
  <c r="J29" i="5"/>
  <c r="L29" i="5"/>
  <c r="J28" i="5"/>
  <c r="L28" i="5"/>
  <c r="J20" i="5"/>
  <c r="L20" i="5"/>
  <c r="J19" i="5"/>
  <c r="L19" i="5"/>
  <c r="J18" i="5"/>
  <c r="L18" i="5"/>
  <c r="J17" i="5"/>
  <c r="L17" i="5"/>
  <c r="J16" i="5"/>
  <c r="L16" i="5"/>
  <c r="L5" i="5"/>
  <c r="J6" i="5"/>
  <c r="L6" i="5" s="1"/>
  <c r="J7" i="5"/>
  <c r="L7" i="5"/>
  <c r="J8" i="5"/>
  <c r="L8" i="5" s="1"/>
  <c r="J4" i="5"/>
  <c r="L4" i="5"/>
  <c r="C7" i="4"/>
  <c r="E7" i="4" s="1"/>
  <c r="C14" i="3"/>
  <c r="E14" i="3" s="1"/>
  <c r="C13" i="3"/>
  <c r="E13" i="3"/>
  <c r="C12" i="3"/>
  <c r="E12" i="3" s="1"/>
  <c r="C9" i="3"/>
  <c r="E9" i="3"/>
  <c r="C8" i="3"/>
  <c r="E8" i="3" s="1"/>
  <c r="C7" i="3"/>
  <c r="E7" i="3" s="1"/>
  <c r="D6" i="1"/>
  <c r="D4" i="1"/>
  <c r="D3" i="1"/>
  <c r="D5" i="1"/>
  <c r="D7" i="1"/>
  <c r="D10" i="1"/>
  <c r="I15" i="4" l="1"/>
  <c r="G6" i="11"/>
  <c r="I4" i="11"/>
  <c r="J4" i="11" s="1"/>
  <c r="H17" i="4"/>
  <c r="I17" i="4" s="1"/>
  <c r="N16" i="4"/>
  <c r="L14" i="11"/>
  <c r="F24" i="14"/>
  <c r="F25" i="14"/>
  <c r="F27" i="14"/>
  <c r="F26" i="14"/>
  <c r="F11" i="14"/>
  <c r="F8" i="14"/>
  <c r="F7" i="14"/>
  <c r="F28" i="14"/>
  <c r="F22" i="14"/>
  <c r="F23" i="14"/>
  <c r="F21" i="14"/>
  <c r="F10" i="14"/>
  <c r="F9" i="14"/>
  <c r="F5" i="14"/>
  <c r="F6" i="14"/>
  <c r="F12" i="14"/>
  <c r="B10" i="6"/>
  <c r="G20" i="13"/>
  <c r="G21" i="13" s="1"/>
  <c r="F20" i="13"/>
  <c r="E20" i="13" s="1"/>
  <c r="F11" i="13"/>
  <c r="G11" i="13" s="1"/>
  <c r="K11" i="13" s="1"/>
  <c r="D10" i="10"/>
  <c r="H10" i="10" s="1"/>
  <c r="D4" i="10"/>
  <c r="H6" i="10" s="1"/>
  <c r="F4" i="13"/>
  <c r="M27" i="4"/>
  <c r="O27" i="4" s="1"/>
  <c r="M26" i="4"/>
  <c r="O26" i="4" s="1"/>
  <c r="M24" i="4"/>
  <c r="O24" i="4" s="1"/>
  <c r="M25" i="4"/>
  <c r="O25" i="4" s="1"/>
  <c r="H26" i="4"/>
  <c r="J26" i="4" s="1"/>
  <c r="D17" i="10"/>
  <c r="H17" i="10" s="1"/>
  <c r="E10" i="6" l="1"/>
  <c r="C13" i="6" s="1"/>
  <c r="C15" i="6" s="1"/>
  <c r="F10" i="6"/>
  <c r="D13" i="6" s="1"/>
  <c r="D15" i="6" s="1"/>
  <c r="F21" i="13"/>
  <c r="K13" i="13"/>
  <c r="M13" i="13" s="1"/>
  <c r="K14" i="13"/>
  <c r="M14" i="13" s="1"/>
  <c r="I11" i="13"/>
  <c r="K12" i="13"/>
  <c r="M12" i="13" s="1"/>
  <c r="M11" i="13"/>
  <c r="J10" i="10"/>
  <c r="F10" i="10"/>
  <c r="F17" i="10"/>
  <c r="J17" i="10"/>
  <c r="J6" i="10"/>
  <c r="F4" i="10"/>
  <c r="G4" i="13"/>
  <c r="K4" i="13" s="1"/>
  <c r="M28" i="4"/>
  <c r="O28" i="4" s="1"/>
  <c r="D16" i="4"/>
  <c r="C22" i="4"/>
  <c r="C23" i="4"/>
  <c r="E23" i="4" s="1"/>
  <c r="C24" i="4" l="1"/>
  <c r="E24" i="4" s="1"/>
  <c r="K5" i="13"/>
  <c r="K6" i="13"/>
  <c r="I4" i="13"/>
  <c r="E22" i="4"/>
  <c r="M5" i="13" l="1"/>
  <c r="M6" i="13"/>
  <c r="M4" i="13"/>
</calcChain>
</file>

<file path=xl/sharedStrings.xml><?xml version="1.0" encoding="utf-8"?>
<sst xmlns="http://schemas.openxmlformats.org/spreadsheetml/2006/main" count="439" uniqueCount="204">
  <si>
    <t>Wet Cell Voltage Adding</t>
  </si>
  <si>
    <t>Test #</t>
  </si>
  <si>
    <t>Measured Value</t>
  </si>
  <si>
    <t>Resistance (Ohms)</t>
  </si>
  <si>
    <t>open circuit</t>
  </si>
  <si>
    <t>Dry Cell Voltage Adding</t>
  </si>
  <si>
    <t>Battery Voltage</t>
  </si>
  <si>
    <t>Dry Cell Current Adding</t>
  </si>
  <si>
    <t>E (VDC)</t>
  </si>
  <si>
    <t>% Error</t>
  </si>
  <si>
    <t>Resistor Expected &amp; Measured Values</t>
  </si>
  <si>
    <r>
      <t>R</t>
    </r>
    <r>
      <rPr>
        <b/>
        <vertAlign val="subscript"/>
        <sz val="10"/>
        <color indexed="9"/>
        <rFont val="Arial"/>
        <family val="2"/>
      </rPr>
      <t>exp</t>
    </r>
    <r>
      <rPr>
        <b/>
        <sz val="10"/>
        <color indexed="9"/>
        <rFont val="Arial"/>
        <family val="2"/>
      </rPr>
      <t xml:space="preserve"> (Ohm)</t>
    </r>
  </si>
  <si>
    <r>
      <t>R</t>
    </r>
    <r>
      <rPr>
        <b/>
        <vertAlign val="subscript"/>
        <sz val="10"/>
        <color indexed="9"/>
        <rFont val="Arial"/>
        <family val="2"/>
      </rPr>
      <t>meas</t>
    </r>
    <r>
      <rPr>
        <b/>
        <sz val="10"/>
        <color indexed="9"/>
        <rFont val="Arial"/>
        <family val="2"/>
      </rPr>
      <t xml:space="preserve"> (Ohm)</t>
    </r>
  </si>
  <si>
    <t>R1</t>
  </si>
  <si>
    <t>R2</t>
  </si>
  <si>
    <t>R3</t>
  </si>
  <si>
    <t>RT</t>
  </si>
  <si>
    <t>Circuit Total Resistance &amp; Current</t>
  </si>
  <si>
    <r>
      <t>R</t>
    </r>
    <r>
      <rPr>
        <vertAlign val="subscript"/>
        <sz val="10"/>
        <color indexed="9"/>
        <rFont val="Arial"/>
        <family val="2"/>
      </rPr>
      <t>Texp</t>
    </r>
  </si>
  <si>
    <r>
      <t>R</t>
    </r>
    <r>
      <rPr>
        <vertAlign val="subscript"/>
        <sz val="10"/>
        <color indexed="9"/>
        <rFont val="Arial"/>
        <family val="2"/>
      </rPr>
      <t>tmeas</t>
    </r>
  </si>
  <si>
    <r>
      <t>I</t>
    </r>
    <r>
      <rPr>
        <vertAlign val="subscript"/>
        <sz val="10"/>
        <color indexed="9"/>
        <rFont val="Arial"/>
        <family val="2"/>
      </rPr>
      <t>Texp</t>
    </r>
  </si>
  <si>
    <r>
      <t>I</t>
    </r>
    <r>
      <rPr>
        <vertAlign val="subscript"/>
        <sz val="10"/>
        <color indexed="9"/>
        <rFont val="Arial"/>
        <family val="2"/>
      </rPr>
      <t>Tmeas</t>
    </r>
  </si>
  <si>
    <t>Circuit Supply Voltage</t>
  </si>
  <si>
    <r>
      <t>V</t>
    </r>
    <r>
      <rPr>
        <vertAlign val="subscript"/>
        <sz val="10"/>
        <color indexed="9"/>
        <rFont val="Arial"/>
        <family val="2"/>
      </rPr>
      <t>S</t>
    </r>
  </si>
  <si>
    <t>Resistor Voltage Drops</t>
  </si>
  <si>
    <t>Barrier Voltages</t>
  </si>
  <si>
    <t>Test Circuit Currents</t>
  </si>
  <si>
    <t>Part #</t>
  </si>
  <si>
    <t>Package Sketch</t>
  </si>
  <si>
    <t>Package Designation</t>
  </si>
  <si>
    <t>Diode Drawing</t>
  </si>
  <si>
    <t>NPN or PNP?</t>
  </si>
  <si>
    <r>
      <t>V</t>
    </r>
    <r>
      <rPr>
        <b/>
        <vertAlign val="subscript"/>
        <sz val="10"/>
        <color indexed="8"/>
        <rFont val="Arial"/>
        <family val="2"/>
      </rPr>
      <t>BE</t>
    </r>
  </si>
  <si>
    <r>
      <t>V</t>
    </r>
    <r>
      <rPr>
        <b/>
        <vertAlign val="subscript"/>
        <sz val="10"/>
        <color indexed="8"/>
        <rFont val="Arial"/>
        <family val="2"/>
      </rPr>
      <t>BC</t>
    </r>
  </si>
  <si>
    <t>HFE Calc</t>
  </si>
  <si>
    <t>HFE Meas</t>
  </si>
  <si>
    <t>Transformer Turns Ratio</t>
  </si>
  <si>
    <t>Multi-Secondary Transformer (Voltage)</t>
  </si>
  <si>
    <t>Expected</t>
  </si>
  <si>
    <t>Measured</t>
  </si>
  <si>
    <t>Design</t>
  </si>
  <si>
    <t>Time (seconds)</t>
  </si>
  <si>
    <t>RC Time Constants</t>
  </si>
  <si>
    <t>8 4 2 1</t>
  </si>
  <si>
    <t>0 0 0 1</t>
  </si>
  <si>
    <t>0 0 1 0</t>
  </si>
  <si>
    <t>0 0 1 1</t>
  </si>
  <si>
    <t>0 1 0 0</t>
  </si>
  <si>
    <t>0 1 0 1</t>
  </si>
  <si>
    <t>0 1 1 0</t>
  </si>
  <si>
    <t>0 1 1 1</t>
  </si>
  <si>
    <t>1 0 0 0</t>
  </si>
  <si>
    <t>1 0 0 1</t>
  </si>
  <si>
    <t>1 0 1 0</t>
  </si>
  <si>
    <t>1 0 1 1</t>
  </si>
  <si>
    <t>1 1 0 0</t>
  </si>
  <si>
    <t>1 1 0 1</t>
  </si>
  <si>
    <t>1 1 1 1</t>
  </si>
  <si>
    <t>1 1 1 0</t>
  </si>
  <si>
    <t>Transistor 1</t>
  </si>
  <si>
    <r>
      <t>I</t>
    </r>
    <r>
      <rPr>
        <b/>
        <vertAlign val="subscript"/>
        <sz val="10"/>
        <color indexed="8"/>
        <rFont val="Arial"/>
        <family val="2"/>
      </rPr>
      <t>B</t>
    </r>
    <r>
      <rPr>
        <b/>
        <sz val="10"/>
        <color indexed="8"/>
        <rFont val="Arial"/>
        <family val="2"/>
      </rPr>
      <t xml:space="preserve"> (µA)</t>
    </r>
  </si>
  <si>
    <r>
      <t>I</t>
    </r>
    <r>
      <rPr>
        <b/>
        <vertAlign val="subscript"/>
        <sz val="10"/>
        <color indexed="8"/>
        <rFont val="Arial"/>
        <family val="2"/>
      </rPr>
      <t>C</t>
    </r>
    <r>
      <rPr>
        <b/>
        <sz val="10"/>
        <color indexed="8"/>
        <rFont val="Arial"/>
        <family val="2"/>
      </rPr>
      <t xml:space="preserve"> (mA)</t>
    </r>
  </si>
  <si>
    <t>Error %</t>
  </si>
  <si>
    <t>Transistor 2</t>
  </si>
  <si>
    <t>Transistor 3</t>
  </si>
  <si>
    <t>Error (%)</t>
  </si>
  <si>
    <t>Circuit 1</t>
  </si>
  <si>
    <t>Circuit 2</t>
  </si>
  <si>
    <t>.</t>
  </si>
  <si>
    <r>
      <t>V</t>
    </r>
    <r>
      <rPr>
        <vertAlign val="subscript"/>
        <sz val="10"/>
        <color indexed="9"/>
        <rFont val="Arial"/>
        <family val="2"/>
      </rPr>
      <t>T</t>
    </r>
  </si>
  <si>
    <r>
      <t>R1 (</t>
    </r>
    <r>
      <rPr>
        <b/>
        <sz val="12"/>
        <color indexed="9"/>
        <rFont val="Arial"/>
        <family val="2"/>
      </rPr>
      <t>Ω</t>
    </r>
    <r>
      <rPr>
        <b/>
        <sz val="12"/>
        <color indexed="9"/>
        <rFont val="Times New Roman"/>
        <family val="1"/>
      </rPr>
      <t>)</t>
    </r>
  </si>
  <si>
    <r>
      <t>I</t>
    </r>
    <r>
      <rPr>
        <b/>
        <vertAlign val="subscript"/>
        <sz val="12"/>
        <color indexed="9"/>
        <rFont val="Times New Roman"/>
        <family val="1"/>
      </rPr>
      <t>expected</t>
    </r>
    <r>
      <rPr>
        <b/>
        <sz val="12"/>
        <color indexed="9"/>
        <rFont val="Times New Roman"/>
        <family val="1"/>
      </rPr>
      <t xml:space="preserve"> (A)</t>
    </r>
  </si>
  <si>
    <r>
      <t>I</t>
    </r>
    <r>
      <rPr>
        <b/>
        <vertAlign val="subscript"/>
        <sz val="12"/>
        <color indexed="9"/>
        <rFont val="Times New Roman"/>
        <family val="1"/>
      </rPr>
      <t>measured</t>
    </r>
    <r>
      <rPr>
        <b/>
        <sz val="12"/>
        <color indexed="9"/>
        <rFont val="Times New Roman"/>
        <family val="1"/>
      </rPr>
      <t xml:space="preserve"> (A)</t>
    </r>
  </si>
  <si>
    <r>
      <t>R2 (</t>
    </r>
    <r>
      <rPr>
        <b/>
        <sz val="12"/>
        <color indexed="9"/>
        <rFont val="Arial"/>
        <family val="2"/>
      </rPr>
      <t>Ω</t>
    </r>
    <r>
      <rPr>
        <b/>
        <sz val="12"/>
        <color indexed="9"/>
        <rFont val="Times New Roman"/>
        <family val="1"/>
      </rPr>
      <t>)</t>
    </r>
  </si>
  <si>
    <r>
      <t>R3 (</t>
    </r>
    <r>
      <rPr>
        <b/>
        <sz val="12"/>
        <color indexed="9"/>
        <rFont val="Arial"/>
        <family val="2"/>
      </rPr>
      <t>Ω</t>
    </r>
    <r>
      <rPr>
        <b/>
        <sz val="12"/>
        <color indexed="9"/>
        <rFont val="Times New Roman"/>
        <family val="1"/>
      </rPr>
      <t>)</t>
    </r>
  </si>
  <si>
    <t>R4</t>
  </si>
  <si>
    <t>Conductance (g)</t>
  </si>
  <si>
    <t>5.1 V Zeneer Diode</t>
  </si>
  <si>
    <t>Bias Voltage</t>
  </si>
  <si>
    <r>
      <t>Charge
V</t>
    </r>
    <r>
      <rPr>
        <b/>
        <vertAlign val="subscript"/>
        <sz val="10"/>
        <color indexed="8"/>
        <rFont val="Arial"/>
        <family val="2"/>
      </rPr>
      <t>out</t>
    </r>
  </si>
  <si>
    <r>
      <t>Discharge
V</t>
    </r>
    <r>
      <rPr>
        <b/>
        <vertAlign val="subscript"/>
        <sz val="10"/>
        <color indexed="8"/>
        <rFont val="Arial"/>
        <family val="2"/>
      </rPr>
      <t>out</t>
    </r>
  </si>
  <si>
    <t>Test Point A</t>
  </si>
  <si>
    <t>Test Point B</t>
  </si>
  <si>
    <t>Vrms</t>
  </si>
  <si>
    <t>Vp-p</t>
  </si>
  <si>
    <t>Vmean</t>
  </si>
  <si>
    <t>Load Resistance</t>
  </si>
  <si>
    <t>Total Current (Amps)</t>
  </si>
  <si>
    <t>Total Power (Watts)</t>
  </si>
  <si>
    <t>Circuit 1 - Half Wave Unfiltered</t>
  </si>
  <si>
    <t>Circuit 2 - Half Wave Filtered</t>
  </si>
  <si>
    <t>Circuit 3 - Full Wave Unfiltered</t>
  </si>
  <si>
    <t>Circuit 4 - Full Wave Filtered</t>
  </si>
  <si>
    <r>
      <t>V</t>
    </r>
    <r>
      <rPr>
        <b/>
        <vertAlign val="subscript"/>
        <sz val="10"/>
        <color indexed="9"/>
        <rFont val="Arial"/>
        <family val="2"/>
      </rPr>
      <t>rexp</t>
    </r>
  </si>
  <si>
    <r>
      <t>V</t>
    </r>
    <r>
      <rPr>
        <b/>
        <vertAlign val="subscript"/>
        <sz val="10"/>
        <color indexed="9"/>
        <rFont val="Arial"/>
        <family val="2"/>
      </rPr>
      <t>rmeas</t>
    </r>
  </si>
  <si>
    <t>Phase Addition &amp; Subtraction</t>
  </si>
  <si>
    <t>Math</t>
  </si>
  <si>
    <t>DMM</t>
  </si>
  <si>
    <t>%Error</t>
  </si>
  <si>
    <r>
      <t>T</t>
    </r>
    <r>
      <rPr>
        <b/>
        <vertAlign val="subscript"/>
        <sz val="10"/>
        <color indexed="8"/>
        <rFont val="Arial"/>
        <family val="2"/>
      </rPr>
      <t>LAG</t>
    </r>
    <r>
      <rPr>
        <b/>
        <sz val="10"/>
        <color indexed="8"/>
        <rFont val="Arial"/>
        <family val="2"/>
      </rPr>
      <t xml:space="preserve"> - T</t>
    </r>
    <r>
      <rPr>
        <b/>
        <vertAlign val="subscript"/>
        <sz val="10"/>
        <color indexed="8"/>
        <rFont val="Arial"/>
        <family val="2"/>
      </rPr>
      <t>LEAD</t>
    </r>
    <r>
      <rPr>
        <b/>
        <sz val="10"/>
        <color indexed="8"/>
        <rFont val="Arial"/>
        <family val="2"/>
      </rPr>
      <t xml:space="preserve"> (Sec)</t>
    </r>
  </si>
  <si>
    <t>Period  (Sec)</t>
  </si>
  <si>
    <t>Phase Shift (deg)</t>
  </si>
  <si>
    <t>Frequency (Hz)</t>
  </si>
  <si>
    <t>Reactance (Ω)</t>
  </si>
  <si>
    <t>Capacitance (F)</t>
  </si>
  <si>
    <t>Inductance (H)</t>
  </si>
  <si>
    <t>Circuit 3</t>
  </si>
  <si>
    <t>Resistance (Ω)</t>
  </si>
  <si>
    <r>
      <rPr>
        <b/>
        <i/>
        <sz val="10"/>
        <color indexed="8"/>
        <rFont val="Arial"/>
        <family val="2"/>
      </rPr>
      <t>f</t>
    </r>
    <r>
      <rPr>
        <b/>
        <vertAlign val="subscript"/>
        <sz val="10"/>
        <color indexed="8"/>
        <rFont val="Arial"/>
        <family val="2"/>
      </rPr>
      <t>CO</t>
    </r>
    <r>
      <rPr>
        <b/>
        <sz val="10"/>
        <color indexed="8"/>
        <rFont val="Arial"/>
        <family val="2"/>
      </rPr>
      <t xml:space="preserve"> (Hz)</t>
    </r>
  </si>
  <si>
    <r>
      <t>Full v Half Wave V</t>
    </r>
    <r>
      <rPr>
        <vertAlign val="subscript"/>
        <sz val="10"/>
        <color indexed="8"/>
        <rFont val="Arial"/>
        <family val="2"/>
      </rPr>
      <t>RMS</t>
    </r>
    <r>
      <rPr>
        <sz val="10"/>
        <color theme="1"/>
        <rFont val="Arial"/>
        <family val="2"/>
      </rPr>
      <t xml:space="preserve"> </t>
    </r>
  </si>
  <si>
    <t>Full v Half Wave Ripple</t>
  </si>
  <si>
    <t>Zener Current (µA)</t>
  </si>
  <si>
    <t>Resistor Values</t>
  </si>
  <si>
    <t>Filter Capacitor Value</t>
  </si>
  <si>
    <t>Expeced Voltage</t>
  </si>
  <si>
    <t>Bit 1</t>
  </si>
  <si>
    <t>Bit 2</t>
  </si>
  <si>
    <t>Bit 3</t>
  </si>
  <si>
    <t>Bit 4</t>
  </si>
  <si>
    <r>
      <t>Gate Source V</t>
    </r>
    <r>
      <rPr>
        <b/>
        <vertAlign val="subscript"/>
        <sz val="10"/>
        <color indexed="8"/>
        <rFont val="Arial"/>
        <family val="2"/>
      </rPr>
      <t>GS</t>
    </r>
  </si>
  <si>
    <r>
      <t>Drain Current I</t>
    </r>
    <r>
      <rPr>
        <b/>
        <vertAlign val="subscript"/>
        <sz val="10"/>
        <color indexed="8"/>
        <rFont val="Arial"/>
        <family val="2"/>
      </rPr>
      <t>D</t>
    </r>
  </si>
  <si>
    <t>Trans conductance (S)</t>
  </si>
  <si>
    <t>Circuit 4</t>
  </si>
  <si>
    <t>Digital to Analog Conversion</t>
  </si>
  <si>
    <t>Analog to Digital Conversion</t>
  </si>
  <si>
    <t>Binary Value</t>
  </si>
  <si>
    <t>Decimal Value</t>
  </si>
  <si>
    <t>Voltage Output</t>
  </si>
  <si>
    <t>Voltage Input</t>
  </si>
  <si>
    <t>Measured Equivelant Resistance</t>
  </si>
  <si>
    <t>Expected Equivelant Resistance (Ω)</t>
  </si>
  <si>
    <t>Source &amp; Component Voltage Drops</t>
  </si>
  <si>
    <t>Circuit 5</t>
  </si>
  <si>
    <r>
      <t>V</t>
    </r>
    <r>
      <rPr>
        <vertAlign val="subscript"/>
        <sz val="10"/>
        <color theme="0"/>
        <rFont val="Arial"/>
        <family val="2"/>
      </rPr>
      <t>LED</t>
    </r>
  </si>
  <si>
    <r>
      <t>V</t>
    </r>
    <r>
      <rPr>
        <vertAlign val="subscript"/>
        <sz val="10"/>
        <color theme="0"/>
        <rFont val="Arial"/>
        <family val="2"/>
      </rPr>
      <t>R1</t>
    </r>
  </si>
  <si>
    <r>
      <t>V</t>
    </r>
    <r>
      <rPr>
        <vertAlign val="subscript"/>
        <sz val="10"/>
        <color theme="0"/>
        <rFont val="Arial"/>
        <family val="2"/>
      </rPr>
      <t>CE</t>
    </r>
  </si>
  <si>
    <r>
      <t>V</t>
    </r>
    <r>
      <rPr>
        <vertAlign val="subscript"/>
        <sz val="10"/>
        <color theme="0"/>
        <rFont val="Arial"/>
        <family val="2"/>
      </rPr>
      <t>total</t>
    </r>
  </si>
  <si>
    <r>
      <t>V</t>
    </r>
    <r>
      <rPr>
        <vertAlign val="subscript"/>
        <sz val="10"/>
        <color theme="0"/>
        <rFont val="Arial"/>
        <family val="2"/>
      </rPr>
      <t>source</t>
    </r>
  </si>
  <si>
    <t>Internal Resistance (Ohms)</t>
  </si>
  <si>
    <t>Battery Measured Current (Amps)</t>
  </si>
  <si>
    <t>R6</t>
  </si>
  <si>
    <t>Series Resistor Value (Ω)</t>
  </si>
  <si>
    <t>Branch 1</t>
  </si>
  <si>
    <t>Branch 2</t>
  </si>
  <si>
    <t>Branch Conductance (g)</t>
  </si>
  <si>
    <t>Branch Resistance (Ω)</t>
  </si>
  <si>
    <t>Series Resistor Values (Ω)</t>
  </si>
  <si>
    <r>
      <t>V</t>
    </r>
    <r>
      <rPr>
        <b/>
        <vertAlign val="subscript"/>
        <sz val="10"/>
        <color theme="1"/>
        <rFont val="Arial"/>
        <family val="2"/>
      </rPr>
      <t>source</t>
    </r>
  </si>
  <si>
    <t>Expected Current (Amp)</t>
  </si>
  <si>
    <t>Measured Current (Amp)</t>
  </si>
  <si>
    <r>
      <t>I</t>
    </r>
    <r>
      <rPr>
        <b/>
        <vertAlign val="subscript"/>
        <sz val="10"/>
        <rFont val="Arial"/>
        <family val="2"/>
      </rPr>
      <t>R1</t>
    </r>
  </si>
  <si>
    <r>
      <t>I</t>
    </r>
    <r>
      <rPr>
        <b/>
        <vertAlign val="subscript"/>
        <sz val="10"/>
        <color theme="1"/>
        <rFont val="Arial"/>
        <family val="2"/>
      </rPr>
      <t>R2</t>
    </r>
  </si>
  <si>
    <r>
      <t>I</t>
    </r>
    <r>
      <rPr>
        <b/>
        <vertAlign val="subscript"/>
        <sz val="10"/>
        <color theme="1"/>
        <rFont val="Arial"/>
        <family val="2"/>
      </rPr>
      <t>T</t>
    </r>
  </si>
  <si>
    <t>Expected Resistor Value (Ω)</t>
  </si>
  <si>
    <r>
      <t>R</t>
    </r>
    <r>
      <rPr>
        <b/>
        <vertAlign val="subscript"/>
        <sz val="10"/>
        <color theme="1"/>
        <rFont val="Arial"/>
        <family val="2"/>
      </rPr>
      <t>1</t>
    </r>
  </si>
  <si>
    <r>
      <t>N</t>
    </r>
    <r>
      <rPr>
        <b/>
        <vertAlign val="subscript"/>
        <sz val="10"/>
        <color theme="0"/>
        <rFont val="Arial"/>
        <family val="2"/>
      </rPr>
      <t>P</t>
    </r>
  </si>
  <si>
    <r>
      <t>α</t>
    </r>
    <r>
      <rPr>
        <b/>
        <vertAlign val="subscript"/>
        <sz val="10"/>
        <color theme="0"/>
        <rFont val="Arial"/>
        <family val="2"/>
      </rPr>
      <t>1</t>
    </r>
  </si>
  <si>
    <r>
      <t>V</t>
    </r>
    <r>
      <rPr>
        <b/>
        <vertAlign val="subscript"/>
        <sz val="10"/>
        <color theme="0"/>
        <rFont val="Arial"/>
        <family val="2"/>
      </rPr>
      <t>P</t>
    </r>
  </si>
  <si>
    <r>
      <t>V</t>
    </r>
    <r>
      <rPr>
        <b/>
        <vertAlign val="subscript"/>
        <sz val="10"/>
        <color theme="0"/>
        <rFont val="Arial"/>
        <family val="2"/>
      </rPr>
      <t>S</t>
    </r>
  </si>
  <si>
    <r>
      <t>N</t>
    </r>
    <r>
      <rPr>
        <b/>
        <vertAlign val="subscript"/>
        <sz val="10"/>
        <color theme="0"/>
        <rFont val="Arial"/>
        <family val="2"/>
      </rPr>
      <t>S</t>
    </r>
  </si>
  <si>
    <r>
      <t>α</t>
    </r>
    <r>
      <rPr>
        <b/>
        <vertAlign val="subscript"/>
        <sz val="10"/>
        <color theme="0"/>
        <rFont val="Arial"/>
        <family val="2"/>
      </rPr>
      <t>2</t>
    </r>
  </si>
  <si>
    <r>
      <t>N</t>
    </r>
    <r>
      <rPr>
        <b/>
        <vertAlign val="subscript"/>
        <sz val="10"/>
        <color theme="0"/>
        <rFont val="Arial"/>
        <family val="2"/>
      </rPr>
      <t>S1</t>
    </r>
  </si>
  <si>
    <r>
      <t>N</t>
    </r>
    <r>
      <rPr>
        <b/>
        <vertAlign val="subscript"/>
        <sz val="10"/>
        <color theme="0"/>
        <rFont val="Arial"/>
        <family val="2"/>
      </rPr>
      <t>S2</t>
    </r>
  </si>
  <si>
    <r>
      <t>V</t>
    </r>
    <r>
      <rPr>
        <b/>
        <vertAlign val="subscript"/>
        <sz val="10"/>
        <color theme="0"/>
        <rFont val="Arial"/>
        <family val="2"/>
      </rPr>
      <t>S1</t>
    </r>
  </si>
  <si>
    <r>
      <t>V</t>
    </r>
    <r>
      <rPr>
        <b/>
        <vertAlign val="subscript"/>
        <sz val="10"/>
        <color theme="0"/>
        <rFont val="Arial"/>
        <family val="2"/>
      </rPr>
      <t>S2</t>
    </r>
  </si>
  <si>
    <t>Vp-p(meas)</t>
  </si>
  <si>
    <t>Vp-p(exp)</t>
  </si>
  <si>
    <t>Vp-p(error)</t>
  </si>
  <si>
    <r>
      <t>Filtered v Unfiltered V</t>
    </r>
    <r>
      <rPr>
        <vertAlign val="subscript"/>
        <sz val="10"/>
        <color indexed="8"/>
        <rFont val="Arial"/>
        <family val="2"/>
      </rPr>
      <t>RMS</t>
    </r>
    <r>
      <rPr>
        <sz val="10"/>
        <color theme="1"/>
        <rFont val="Arial"/>
        <family val="2"/>
      </rPr>
      <t xml:space="preserve"> Increase</t>
    </r>
  </si>
  <si>
    <t>Total Resistance</t>
  </si>
  <si>
    <r>
      <t>V</t>
    </r>
    <r>
      <rPr>
        <b/>
        <vertAlign val="subscript"/>
        <sz val="10"/>
        <color theme="1"/>
        <rFont val="Arial"/>
        <family val="2"/>
      </rPr>
      <t>R1</t>
    </r>
  </si>
  <si>
    <r>
      <t>V</t>
    </r>
    <r>
      <rPr>
        <b/>
        <vertAlign val="subscript"/>
        <sz val="10"/>
        <color theme="1"/>
        <rFont val="Arial"/>
        <family val="2"/>
      </rPr>
      <t>R2</t>
    </r>
  </si>
  <si>
    <r>
      <t>V</t>
    </r>
    <r>
      <rPr>
        <b/>
        <vertAlign val="subscript"/>
        <sz val="10"/>
        <color theme="1"/>
        <rFont val="Arial"/>
        <family val="2"/>
      </rPr>
      <t>ZD</t>
    </r>
  </si>
  <si>
    <r>
      <t>V</t>
    </r>
    <r>
      <rPr>
        <vertAlign val="subscript"/>
        <sz val="10"/>
        <color theme="1"/>
        <rFont val="Arial"/>
        <family val="2"/>
      </rPr>
      <t>T</t>
    </r>
  </si>
  <si>
    <r>
      <t>I</t>
    </r>
    <r>
      <rPr>
        <b/>
        <vertAlign val="subscript"/>
        <sz val="10"/>
        <color theme="1"/>
        <rFont val="Arial"/>
        <family val="2"/>
      </rPr>
      <t>ZD</t>
    </r>
  </si>
  <si>
    <r>
      <t>I</t>
    </r>
    <r>
      <rPr>
        <b/>
        <vertAlign val="subscript"/>
        <sz val="10"/>
        <color theme="1"/>
        <rFont val="Arial"/>
        <family val="2"/>
      </rPr>
      <t>R1</t>
    </r>
  </si>
  <si>
    <t>Expected Parallel Resistance (Ω)</t>
  </si>
  <si>
    <t>Expected Total Resistance (Ω)</t>
  </si>
  <si>
    <t xml:space="preserve"> Measured Total Resistance (Ω)</t>
  </si>
  <si>
    <r>
      <t>Drain Source V</t>
    </r>
    <r>
      <rPr>
        <b/>
        <vertAlign val="subscript"/>
        <sz val="10"/>
        <color theme="1"/>
        <rFont val="Arial"/>
        <family val="2"/>
      </rPr>
      <t>DS</t>
    </r>
  </si>
  <si>
    <r>
      <t>I</t>
    </r>
    <r>
      <rPr>
        <b/>
        <vertAlign val="subscript"/>
        <sz val="10"/>
        <color theme="1"/>
        <rFont val="Arial"/>
        <family val="2"/>
      </rPr>
      <t>R2</t>
    </r>
    <r>
      <rPr>
        <b/>
        <sz val="10"/>
        <color theme="1"/>
        <rFont val="Arial"/>
        <family val="2"/>
      </rPr>
      <t xml:space="preserve"> + I</t>
    </r>
    <r>
      <rPr>
        <b/>
        <vertAlign val="subscript"/>
        <sz val="10"/>
        <color theme="1"/>
        <rFont val="Arial"/>
        <family val="2"/>
      </rPr>
      <t>R1</t>
    </r>
  </si>
  <si>
    <t>% Voltage Change</t>
  </si>
  <si>
    <t>% Current Change</t>
  </si>
  <si>
    <t>Voltage Performance</t>
  </si>
  <si>
    <t>Current Performance</t>
  </si>
  <si>
    <t>Ω</t>
  </si>
  <si>
    <t>Inductance</t>
  </si>
  <si>
    <t>Current (A)</t>
  </si>
  <si>
    <t>Capacitance</t>
  </si>
  <si>
    <t>Expected Reactance (Ω)</t>
  </si>
  <si>
    <t>Measured Reactance (Ω)</t>
  </si>
  <si>
    <t>Percent Error</t>
  </si>
  <si>
    <t>Primary Voltage</t>
  </si>
  <si>
    <t>Secondary Voltage</t>
  </si>
  <si>
    <t>Transformer Voltage Performance</t>
  </si>
  <si>
    <t>Voltage Ratio</t>
  </si>
  <si>
    <t>Current Ratio</t>
  </si>
  <si>
    <t>Primary Current</t>
  </si>
  <si>
    <t>Secondary Current</t>
  </si>
  <si>
    <t>Voltage (Vrms)</t>
  </si>
  <si>
    <t>R5</t>
  </si>
  <si>
    <t>R7</t>
  </si>
  <si>
    <t>R8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</si>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</sst>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0.0%"/>
    <numFmt numFmtId="166" formatCode="0.0"/>
    <numFmt numFmtId="167" formatCode="###.000E+00"/>
    <numFmt numFmtId="168" formatCode="###.00E+00"/>
    <numFmt numFmtId="169" formatCode="###.0E+00"/>
    <numFmt numFmtId="170" formatCode="###.00E+00\ &quot;Ω&quot;"/>
    <numFmt numFmtId="171" formatCode="###.00E+00\ &quot;F&quot;"/>
    <numFmt numFmtId="172" formatCode="###.00E+00&quot; Amp&quot;"/>
  </numFmts>
  <fonts count="31" x14ac:knownFonts="1">
    <font>
      <sz val="10"/>
      <color theme="1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color indexed="9"/>
      <name val="Arial"/>
      <family val="2"/>
    </font>
    <font>
      <b/>
      <vertAlign val="subscript"/>
      <sz val="12"/>
      <color indexed="9"/>
      <name val="Times New Roman"/>
      <family val="1"/>
    </font>
    <font>
      <b/>
      <sz val="12"/>
      <color indexed="9"/>
      <name val="Times New Roman"/>
      <family val="1"/>
    </font>
    <font>
      <b/>
      <vertAlign val="subscript"/>
      <sz val="10"/>
      <color indexed="9"/>
      <name val="Arial"/>
      <family val="2"/>
    </font>
    <font>
      <vertAlign val="subscript"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9"/>
      <name val="Arial"/>
      <family val="2"/>
    </font>
    <font>
      <vertAlign val="subscript"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Arial"/>
      <family val="2"/>
    </font>
    <font>
      <sz val="10"/>
      <color rgb="FFFFFF66"/>
      <name val="Arial"/>
      <family val="2"/>
    </font>
    <font>
      <sz val="8.1999999999999993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bscript"/>
      <sz val="10"/>
      <color theme="0"/>
      <name val="Arial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name val="Arial"/>
      <family val="2"/>
    </font>
    <font>
      <sz val="9"/>
      <color theme="0"/>
      <name val="Arial"/>
      <family val="2"/>
    </font>
    <font>
      <b/>
      <vertAlign val="subscript"/>
      <sz val="10"/>
      <color theme="0"/>
      <name val="Arial"/>
      <family val="2"/>
    </font>
    <font>
      <b/>
      <sz val="9"/>
      <color theme="0"/>
      <name val="Arial"/>
      <family val="2"/>
    </font>
    <font>
      <vertAlign val="subscript"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168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0" xfId="0" applyFont="1" applyFill="1" applyBorder="1" applyProtection="1">
      <protection locked="0"/>
    </xf>
    <xf numFmtId="0" fontId="14" fillId="3" borderId="2" xfId="0" applyFont="1" applyFill="1" applyBorder="1" applyProtection="1"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168" fontId="0" fillId="4" borderId="0" xfId="0" applyNumberForma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166" fontId="0" fillId="4" borderId="0" xfId="0" applyNumberForma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14" fillId="3" borderId="0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center"/>
      <protection locked="0"/>
    </xf>
    <xf numFmtId="164" fontId="0" fillId="4" borderId="0" xfId="0" applyNumberForma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14" fillId="3" borderId="6" xfId="0" applyFont="1" applyFill="1" applyBorder="1" applyProtection="1">
      <protection locked="0"/>
    </xf>
    <xf numFmtId="164" fontId="0" fillId="4" borderId="7" xfId="0" applyNumberFormat="1" applyFill="1" applyBorder="1" applyAlignment="1" applyProtection="1">
      <alignment horizontal="center"/>
      <protection locked="0"/>
    </xf>
    <xf numFmtId="10" fontId="14" fillId="5" borderId="2" xfId="0" applyNumberFormat="1" applyFont="1" applyFill="1" applyBorder="1" applyAlignment="1" applyProtection="1">
      <alignment horizontal="center"/>
    </xf>
    <xf numFmtId="168" fontId="14" fillId="5" borderId="0" xfId="0" applyNumberFormat="1" applyFont="1" applyFill="1" applyBorder="1" applyAlignment="1" applyProtection="1">
      <alignment horizontal="center"/>
    </xf>
    <xf numFmtId="10" fontId="14" fillId="5" borderId="0" xfId="0" applyNumberFormat="1" applyFont="1" applyFill="1" applyBorder="1" applyAlignment="1" applyProtection="1">
      <alignment horizontal="center"/>
    </xf>
    <xf numFmtId="2" fontId="14" fillId="5" borderId="0" xfId="0" applyNumberFormat="1" applyFont="1" applyFill="1" applyBorder="1" applyAlignment="1" applyProtection="1">
      <alignment horizontal="center"/>
    </xf>
    <xf numFmtId="2" fontId="14" fillId="5" borderId="7" xfId="0" applyNumberFormat="1" applyFont="1" applyFill="1" applyBorder="1" applyAlignment="1" applyProtection="1">
      <alignment horizontal="center"/>
    </xf>
    <xf numFmtId="10" fontId="14" fillId="5" borderId="8" xfId="0" applyNumberFormat="1" applyFont="1" applyFill="1" applyBorder="1" applyAlignment="1" applyProtection="1">
      <alignment horizontal="center"/>
    </xf>
    <xf numFmtId="168" fontId="14" fillId="5" borderId="7" xfId="0" applyNumberFormat="1" applyFont="1" applyFill="1" applyBorder="1" applyAlignment="1" applyProtection="1">
      <alignment horizontal="center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10" xfId="0" applyFont="1" applyFill="1" applyBorder="1" applyAlignment="1" applyProtection="1">
      <alignment horizontal="center" vertical="top" wrapText="1"/>
      <protection locked="0"/>
    </xf>
    <xf numFmtId="2" fontId="17" fillId="4" borderId="11" xfId="0" applyNumberFormat="1" applyFont="1" applyFill="1" applyBorder="1" applyAlignment="1" applyProtection="1">
      <alignment horizontal="center" vertical="top" wrapText="1"/>
      <protection locked="0"/>
    </xf>
    <xf numFmtId="168" fontId="17" fillId="4" borderId="11" xfId="0" applyNumberFormat="1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2" fontId="17" fillId="4" borderId="9" xfId="0" applyNumberFormat="1" applyFont="1" applyFill="1" applyBorder="1" applyAlignment="1" applyProtection="1">
      <alignment horizontal="center" vertical="top" wrapText="1"/>
      <protection locked="0"/>
    </xf>
    <xf numFmtId="168" fontId="16" fillId="5" borderId="11" xfId="0" applyNumberFormat="1" applyFont="1" applyFill="1" applyBorder="1" applyAlignment="1" applyProtection="1">
      <alignment horizontal="center" vertical="top" wrapText="1"/>
    </xf>
    <xf numFmtId="10" fontId="16" fillId="5" borderId="11" xfId="0" applyNumberFormat="1" applyFont="1" applyFill="1" applyBorder="1" applyAlignment="1" applyProtection="1">
      <alignment horizontal="center" vertical="top" wrapText="1"/>
    </xf>
    <xf numFmtId="10" fontId="16" fillId="5" borderId="9" xfId="0" applyNumberFormat="1" applyFont="1" applyFill="1" applyBorder="1" applyAlignment="1" applyProtection="1">
      <alignment horizontal="center" vertical="top" wrapText="1"/>
    </xf>
    <xf numFmtId="0" fontId="15" fillId="0" borderId="0" xfId="0" applyFont="1" applyAlignment="1" applyProtection="1">
      <alignment horizontal="center" wrapText="1"/>
      <protection locked="0"/>
    </xf>
    <xf numFmtId="0" fontId="15" fillId="0" borderId="0" xfId="0" applyFont="1" applyProtection="1">
      <protection locked="0"/>
    </xf>
    <xf numFmtId="168" fontId="14" fillId="5" borderId="0" xfId="0" applyNumberFormat="1" applyFont="1" applyFill="1" applyAlignment="1" applyProtection="1">
      <alignment horizontal="center"/>
    </xf>
    <xf numFmtId="0" fontId="0" fillId="0" borderId="0" xfId="0" applyAlignment="1" applyProtection="1">
      <alignment wrapText="1"/>
      <protection locked="0"/>
    </xf>
    <xf numFmtId="0" fontId="15" fillId="0" borderId="0" xfId="0" applyFont="1" applyFill="1" applyAlignment="1" applyProtection="1">
      <alignment horizontal="center" wrapText="1"/>
      <protection locked="0"/>
    </xf>
    <xf numFmtId="168" fontId="0" fillId="2" borderId="0" xfId="0" applyNumberFormat="1" applyFill="1" applyAlignment="1" applyProtection="1">
      <alignment horizontal="center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8" fontId="0" fillId="0" borderId="0" xfId="0" applyNumberFormat="1" applyFill="1" applyAlignment="1" applyProtection="1">
      <alignment horizontal="center" wrapText="1"/>
      <protection locked="0"/>
    </xf>
    <xf numFmtId="167" fontId="0" fillId="2" borderId="0" xfId="0" applyNumberFormat="1" applyFill="1" applyAlignment="1" applyProtection="1">
      <alignment horizontal="center" wrapText="1"/>
      <protection locked="0"/>
    </xf>
    <xf numFmtId="168" fontId="0" fillId="0" borderId="0" xfId="0" applyNumberFormat="1" applyAlignment="1" applyProtection="1">
      <alignment wrapText="1"/>
      <protection locked="0"/>
    </xf>
    <xf numFmtId="168" fontId="14" fillId="5" borderId="0" xfId="0" applyNumberFormat="1" applyFont="1" applyFill="1" applyAlignment="1" applyProtection="1">
      <alignment wrapText="1"/>
    </xf>
    <xf numFmtId="0" fontId="15" fillId="0" borderId="0" xfId="0" applyFont="1" applyBorder="1" applyAlignment="1" applyProtection="1">
      <alignment horizontal="center"/>
      <protection locked="0"/>
    </xf>
    <xf numFmtId="166" fontId="0" fillId="4" borderId="7" xfId="0" applyNumberFormat="1" applyFill="1" applyBorder="1" applyAlignment="1" applyProtection="1">
      <alignment horizontal="center"/>
      <protection locked="0"/>
    </xf>
    <xf numFmtId="2" fontId="0" fillId="4" borderId="7" xfId="0" applyNumberFormat="1" applyFill="1" applyBorder="1" applyAlignment="1" applyProtection="1">
      <alignment horizontal="center"/>
      <protection locked="0"/>
    </xf>
    <xf numFmtId="166" fontId="0" fillId="4" borderId="8" xfId="0" applyNumberFormat="1" applyFill="1" applyBorder="1" applyAlignment="1" applyProtection="1">
      <alignment horizontal="center"/>
      <protection locked="0"/>
    </xf>
    <xf numFmtId="2" fontId="0" fillId="4" borderId="0" xfId="0" applyNumberForma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166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6" fontId="14" fillId="5" borderId="6" xfId="0" applyNumberFormat="1" applyFont="1" applyFill="1" applyBorder="1" applyAlignment="1" applyProtection="1">
      <alignment horizontal="center"/>
    </xf>
    <xf numFmtId="164" fontId="14" fillId="5" borderId="7" xfId="0" applyNumberFormat="1" applyFont="1" applyFill="1" applyBorder="1" applyAlignment="1" applyProtection="1">
      <alignment horizontal="center"/>
    </xf>
    <xf numFmtId="166" fontId="14" fillId="5" borderId="7" xfId="0" applyNumberFormat="1" applyFont="1" applyFill="1" applyBorder="1" applyAlignment="1" applyProtection="1">
      <alignment horizontal="center"/>
    </xf>
    <xf numFmtId="166" fontId="14" fillId="5" borderId="8" xfId="0" applyNumberFormat="1" applyFont="1" applyFill="1" applyBorder="1" applyAlignment="1" applyProtection="1">
      <alignment horizontal="center"/>
    </xf>
    <xf numFmtId="166" fontId="14" fillId="5" borderId="12" xfId="0" applyNumberFormat="1" applyFont="1" applyFill="1" applyBorder="1" applyAlignment="1" applyProtection="1">
      <alignment horizontal="center"/>
    </xf>
    <xf numFmtId="2" fontId="14" fillId="5" borderId="12" xfId="0" applyNumberFormat="1" applyFont="1" applyFill="1" applyBorder="1" applyAlignment="1" applyProtection="1">
      <alignment horizontal="center"/>
    </xf>
    <xf numFmtId="165" fontId="14" fillId="5" borderId="4" xfId="0" applyNumberFormat="1" applyFont="1" applyFill="1" applyBorder="1" applyAlignment="1" applyProtection="1">
      <alignment horizontal="center"/>
    </xf>
    <xf numFmtId="165" fontId="14" fillId="5" borderId="0" xfId="0" applyNumberFormat="1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4" xfId="0" applyFont="1" applyBorder="1" applyProtection="1">
      <protection locked="0"/>
    </xf>
    <xf numFmtId="0" fontId="15" fillId="0" borderId="4" xfId="0" applyFont="1" applyBorder="1" applyAlignment="1" applyProtection="1">
      <alignment horizontal="center"/>
      <protection locked="0"/>
    </xf>
    <xf numFmtId="168" fontId="0" fillId="4" borderId="12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168" fontId="0" fillId="0" borderId="0" xfId="0" applyNumberFormat="1" applyProtection="1">
      <protection locked="0"/>
    </xf>
    <xf numFmtId="168" fontId="0" fillId="0" borderId="0" xfId="0" applyNumberFormat="1" applyFill="1" applyBorder="1" applyAlignment="1" applyProtection="1">
      <alignment horizontal="center"/>
      <protection locked="0"/>
    </xf>
    <xf numFmtId="0" fontId="14" fillId="0" borderId="0" xfId="0" applyFont="1" applyFill="1" applyProtection="1">
      <protection locked="0"/>
    </xf>
    <xf numFmtId="3" fontId="14" fillId="5" borderId="0" xfId="0" applyNumberFormat="1" applyFont="1" applyFill="1" applyBorder="1" applyAlignment="1" applyProtection="1">
      <alignment horizontal="center"/>
    </xf>
    <xf numFmtId="166" fontId="14" fillId="5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166" fontId="0" fillId="6" borderId="0" xfId="0" applyNumberFormat="1" applyFill="1" applyBorder="1" applyAlignment="1" applyProtection="1">
      <alignment horizontal="center"/>
      <protection locked="0"/>
    </xf>
    <xf numFmtId="166" fontId="0" fillId="6" borderId="0" xfId="0" applyNumberFormat="1" applyFont="1" applyFill="1" applyBorder="1" applyAlignment="1" applyProtection="1">
      <alignment horizontal="center"/>
      <protection locked="0"/>
    </xf>
    <xf numFmtId="169" fontId="0" fillId="6" borderId="0" xfId="0" applyNumberFormat="1" applyFont="1" applyFill="1" applyBorder="1" applyAlignment="1" applyProtection="1">
      <alignment horizontal="center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169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66" fontId="8" fillId="6" borderId="0" xfId="0" applyNumberFormat="1" applyFont="1" applyFill="1" applyBorder="1" applyAlignment="1" applyProtection="1">
      <alignment horizontal="center"/>
      <protection locked="0"/>
    </xf>
    <xf numFmtId="169" fontId="8" fillId="6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Border="1" applyProtection="1">
      <protection locked="0"/>
    </xf>
    <xf numFmtId="171" fontId="0" fillId="6" borderId="0" xfId="0" applyNumberFormat="1" applyFont="1" applyFill="1" applyBorder="1" applyAlignment="1" applyProtection="1">
      <alignment horizontal="center"/>
      <protection locked="0"/>
    </xf>
    <xf numFmtId="169" fontId="14" fillId="5" borderId="0" xfId="0" applyNumberFormat="1" applyFont="1" applyFill="1" applyBorder="1" applyAlignment="1" applyProtection="1">
      <alignment horizontal="right"/>
    </xf>
    <xf numFmtId="165" fontId="14" fillId="5" borderId="0" xfId="0" applyNumberFormat="1" applyFont="1" applyFill="1" applyBorder="1" applyAlignment="1" applyProtection="1">
      <alignment horizontal="right"/>
    </xf>
    <xf numFmtId="0" fontId="0" fillId="0" borderId="13" xfId="0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5" fillId="0" borderId="4" xfId="0" applyFont="1" applyBorder="1" applyAlignment="1" applyProtection="1">
      <alignment horizontal="center" wrapText="1"/>
      <protection locked="0"/>
    </xf>
    <xf numFmtId="0" fontId="15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166" fontId="0" fillId="4" borderId="0" xfId="0" applyNumberForma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Fill="1" applyAlignment="1" applyProtection="1">
      <alignment horizontal="center" vertical="center" wrapText="1"/>
      <protection locked="0"/>
    </xf>
    <xf numFmtId="0" fontId="14" fillId="5" borderId="0" xfId="0" applyNumberFormat="1" applyFont="1" applyFill="1" applyAlignment="1" applyProtection="1">
      <alignment horizontal="center" vertical="center" wrapText="1"/>
    </xf>
    <xf numFmtId="10" fontId="14" fillId="5" borderId="0" xfId="0" applyNumberFormat="1" applyFont="1" applyFill="1" applyAlignment="1" applyProtection="1">
      <alignment horizontal="center" vertical="center" wrapText="1"/>
    </xf>
    <xf numFmtId="2" fontId="0" fillId="2" borderId="0" xfId="0" applyNumberFormat="1" applyFill="1" applyAlignment="1" applyProtection="1">
      <alignment horizontal="center" wrapText="1"/>
      <protection locked="0"/>
    </xf>
    <xf numFmtId="2" fontId="0" fillId="2" borderId="0" xfId="0" applyNumberFormat="1" applyFill="1" applyAlignment="1" applyProtection="1">
      <alignment horizontal="center"/>
      <protection locked="0"/>
    </xf>
    <xf numFmtId="167" fontId="0" fillId="2" borderId="0" xfId="0" applyNumberFormat="1" applyFill="1" applyAlignment="1" applyProtection="1">
      <alignment horizontal="center"/>
      <protection locked="0"/>
    </xf>
    <xf numFmtId="164" fontId="14" fillId="0" borderId="0" xfId="0" applyNumberFormat="1" applyFont="1" applyFill="1" applyAlignment="1" applyProtection="1">
      <alignment horizontal="center" wrapText="1"/>
      <protection locked="0"/>
    </xf>
    <xf numFmtId="0" fontId="15" fillId="0" borderId="0" xfId="0" applyFont="1" applyFill="1" applyAlignment="1" applyProtection="1">
      <alignment horizontal="right"/>
      <protection locked="0"/>
    </xf>
    <xf numFmtId="167" fontId="0" fillId="0" borderId="0" xfId="0" applyNumberFormat="1" applyProtection="1">
      <protection locked="0"/>
    </xf>
    <xf numFmtId="167" fontId="14" fillId="5" borderId="0" xfId="0" applyNumberFormat="1" applyFont="1" applyFill="1" applyAlignment="1" applyProtection="1">
      <alignment horizontal="center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3" fontId="14" fillId="0" borderId="0" xfId="0" applyNumberFormat="1" applyFont="1" applyFill="1" applyBorder="1" applyAlignment="1" applyProtection="1">
      <alignment horizontal="center"/>
    </xf>
    <xf numFmtId="166" fontId="14" fillId="0" borderId="0" xfId="0" applyNumberFormat="1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2" fontId="0" fillId="4" borderId="0" xfId="0" applyNumberFormat="1" applyFont="1" applyFill="1" applyAlignment="1" applyProtection="1">
      <alignment horizontal="center" vertical="center" wrapText="1"/>
      <protection locked="0"/>
    </xf>
    <xf numFmtId="1" fontId="0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164" fontId="0" fillId="4" borderId="0" xfId="0" applyNumberFormat="1" applyFont="1" applyFill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protection locked="0"/>
    </xf>
    <xf numFmtId="0" fontId="15" fillId="0" borderId="0" xfId="0" applyFont="1" applyBorder="1" applyAlignment="1" applyProtection="1">
      <protection locked="0"/>
    </xf>
    <xf numFmtId="0" fontId="15" fillId="0" borderId="2" xfId="0" applyFont="1" applyBorder="1" applyAlignment="1" applyProtection="1">
      <protection locked="0"/>
    </xf>
    <xf numFmtId="0" fontId="7" fillId="0" borderId="1" xfId="0" applyFont="1" applyFill="1" applyBorder="1" applyAlignment="1" applyProtection="1"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protection locked="0"/>
    </xf>
    <xf numFmtId="0" fontId="14" fillId="3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165" fontId="14" fillId="5" borderId="0" xfId="0" applyNumberFormat="1" applyFont="1" applyFill="1" applyAlignment="1" applyProtection="1">
      <alignment horizontal="center"/>
    </xf>
    <xf numFmtId="168" fontId="0" fillId="4" borderId="0" xfId="0" applyNumberFormat="1" applyFont="1" applyFill="1" applyAlignment="1" applyProtection="1">
      <alignment horizontal="center"/>
      <protection locked="0"/>
    </xf>
    <xf numFmtId="0" fontId="22" fillId="0" borderId="0" xfId="0" applyFont="1" applyProtection="1">
      <protection locked="0"/>
    </xf>
    <xf numFmtId="10" fontId="14" fillId="5" borderId="14" xfId="0" applyNumberFormat="1" applyFont="1" applyFill="1" applyBorder="1" applyAlignment="1" applyProtection="1">
      <alignment horizontal="center"/>
    </xf>
    <xf numFmtId="164" fontId="0" fillId="2" borderId="0" xfId="0" applyNumberFormat="1" applyFill="1" applyAlignment="1" applyProtection="1">
      <alignment horizontal="center" wrapText="1"/>
      <protection locked="0"/>
    </xf>
    <xf numFmtId="0" fontId="14" fillId="7" borderId="0" xfId="0" applyFont="1" applyFill="1" applyAlignment="1" applyProtection="1">
      <alignment horizontal="center" wrapText="1"/>
      <protection locked="0"/>
    </xf>
    <xf numFmtId="0" fontId="14" fillId="0" borderId="0" xfId="0" applyFont="1" applyFill="1" applyAlignment="1" applyProtection="1">
      <alignment horizontal="center" wrapText="1"/>
      <protection locked="0"/>
    </xf>
    <xf numFmtId="168" fontId="14" fillId="0" borderId="0" xfId="0" applyNumberFormat="1" applyFont="1" applyFill="1" applyAlignment="1" applyProtection="1">
      <alignment wrapText="1"/>
    </xf>
    <xf numFmtId="168" fontId="0" fillId="0" borderId="0" xfId="0" applyNumberFormat="1" applyFont="1" applyFill="1" applyAlignment="1" applyProtection="1">
      <alignment horizontal="center"/>
      <protection locked="0"/>
    </xf>
    <xf numFmtId="10" fontId="14" fillId="5" borderId="0" xfId="0" applyNumberFormat="1" applyFont="1" applyFill="1" applyAlignment="1" applyProtection="1">
      <alignment horizontal="center"/>
    </xf>
    <xf numFmtId="168" fontId="14" fillId="0" borderId="0" xfId="0" applyNumberFormat="1" applyFont="1" applyFill="1" applyAlignment="1" applyProtection="1">
      <alignment horizontal="center"/>
    </xf>
    <xf numFmtId="0" fontId="0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center" wrapText="1"/>
      <protection locked="0"/>
    </xf>
    <xf numFmtId="10" fontId="14" fillId="0" borderId="0" xfId="0" applyNumberFormat="1" applyFont="1" applyFill="1" applyAlignment="1" applyProtection="1">
      <alignment horizontal="center"/>
    </xf>
    <xf numFmtId="10" fontId="7" fillId="0" borderId="0" xfId="0" applyNumberFormat="1" applyFont="1" applyFill="1" applyAlignment="1" applyProtection="1">
      <alignment horizontal="center"/>
    </xf>
    <xf numFmtId="0" fontId="15" fillId="0" borderId="0" xfId="0" applyFont="1" applyFill="1" applyProtection="1">
      <protection locked="0"/>
    </xf>
    <xf numFmtId="166" fontId="0" fillId="4" borderId="0" xfId="0" applyNumberFormat="1" applyFont="1" applyFill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center"/>
      <protection locked="0"/>
    </xf>
    <xf numFmtId="168" fontId="0" fillId="0" borderId="0" xfId="0" applyNumberFormat="1" applyFill="1" applyProtection="1">
      <protection locked="0"/>
    </xf>
    <xf numFmtId="0" fontId="15" fillId="0" borderId="0" xfId="0" applyFont="1" applyAlignment="1" applyProtection="1">
      <alignment horizontal="right"/>
      <protection locked="0"/>
    </xf>
    <xf numFmtId="0" fontId="27" fillId="8" borderId="1" xfId="0" applyFont="1" applyFill="1" applyBorder="1" applyAlignment="1" applyProtection="1">
      <alignment horizontal="center"/>
      <protection locked="0"/>
    </xf>
    <xf numFmtId="0" fontId="27" fillId="8" borderId="0" xfId="0" applyFont="1" applyFill="1" applyBorder="1" applyAlignment="1" applyProtection="1">
      <alignment horizontal="center"/>
      <protection locked="0"/>
    </xf>
    <xf numFmtId="0" fontId="27" fillId="8" borderId="2" xfId="0" applyFont="1" applyFill="1" applyBorder="1" applyAlignment="1" applyProtection="1">
      <alignment horizontal="center"/>
      <protection locked="0"/>
    </xf>
    <xf numFmtId="0" fontId="14" fillId="8" borderId="1" xfId="0" applyFont="1" applyFill="1" applyBorder="1" applyAlignment="1" applyProtection="1">
      <alignment horizontal="center"/>
      <protection locked="0"/>
    </xf>
    <xf numFmtId="0" fontId="14" fillId="8" borderId="0" xfId="0" applyFont="1" applyFill="1" applyBorder="1" applyAlignment="1" applyProtection="1">
      <alignment horizontal="center"/>
      <protection locked="0"/>
    </xf>
    <xf numFmtId="0" fontId="14" fillId="8" borderId="2" xfId="0" applyFont="1" applyFill="1" applyBorder="1" applyAlignment="1" applyProtection="1">
      <alignment horizontal="center"/>
      <protection locked="0"/>
    </xf>
    <xf numFmtId="0" fontId="13" fillId="8" borderId="0" xfId="0" applyFont="1" applyFill="1" applyProtection="1">
      <protection locked="0"/>
    </xf>
    <xf numFmtId="0" fontId="29" fillId="8" borderId="0" xfId="0" applyFont="1" applyFill="1" applyBorder="1" applyAlignment="1" applyProtection="1">
      <alignment horizontal="center"/>
      <protection locked="0"/>
    </xf>
    <xf numFmtId="0" fontId="29" fillId="8" borderId="1" xfId="0" applyFont="1" applyFill="1" applyBorder="1" applyProtection="1">
      <protection locked="0"/>
    </xf>
    <xf numFmtId="0" fontId="29" fillId="8" borderId="3" xfId="0" applyFont="1" applyFill="1" applyBorder="1" applyProtection="1">
      <protection locked="0"/>
    </xf>
    <xf numFmtId="170" fontId="14" fillId="0" borderId="0" xfId="0" applyNumberFormat="1" applyFont="1" applyFill="1" applyBorder="1" applyAlignment="1" applyProtection="1">
      <alignment horizontal="right"/>
    </xf>
    <xf numFmtId="165" fontId="14" fillId="0" borderId="0" xfId="0" applyNumberFormat="1" applyFont="1" applyFill="1" applyBorder="1" applyAlignment="1" applyProtection="1">
      <alignment horizontal="right"/>
    </xf>
    <xf numFmtId="170" fontId="14" fillId="5" borderId="0" xfId="0" applyNumberFormat="1" applyFont="1" applyFill="1" applyBorder="1" applyAlignment="1" applyProtection="1">
      <alignment horizontal="center"/>
    </xf>
    <xf numFmtId="0" fontId="14" fillId="3" borderId="13" xfId="0" applyFont="1" applyFill="1" applyBorder="1" applyAlignment="1" applyProtection="1">
      <alignment horizontal="left"/>
      <protection locked="0"/>
    </xf>
    <xf numFmtId="172" fontId="14" fillId="5" borderId="12" xfId="0" applyNumberFormat="1" applyFont="1" applyFill="1" applyBorder="1" applyAlignment="1" applyProtection="1">
      <alignment horizontal="center"/>
    </xf>
    <xf numFmtId="10" fontId="14" fillId="5" borderId="12" xfId="0" applyNumberFormat="1" applyFont="1" applyFill="1" applyBorder="1" applyAlignment="1" applyProtection="1">
      <alignment horizontal="center"/>
    </xf>
    <xf numFmtId="0" fontId="0" fillId="0" borderId="0" xfId="0" applyProtection="1"/>
    <xf numFmtId="168" fontId="0" fillId="0" borderId="0" xfId="0" applyNumberFormat="1" applyFill="1" applyAlignment="1" applyProtection="1">
      <alignment wrapText="1"/>
    </xf>
    <xf numFmtId="168" fontId="14" fillId="5" borderId="12" xfId="0" applyNumberFormat="1" applyFont="1" applyFill="1" applyBorder="1" applyAlignment="1" applyProtection="1">
      <alignment horizontal="center"/>
    </xf>
    <xf numFmtId="3" fontId="14" fillId="5" borderId="12" xfId="0" applyNumberFormat="1" applyFont="1" applyFill="1" applyBorder="1" applyAlignment="1" applyProtection="1">
      <alignment horizontal="center"/>
    </xf>
    <xf numFmtId="1" fontId="14" fillId="5" borderId="12" xfId="0" applyNumberFormat="1" applyFont="1" applyFill="1" applyBorder="1" applyAlignment="1" applyProtection="1">
      <alignment horizontal="center"/>
    </xf>
    <xf numFmtId="0" fontId="15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left"/>
      <protection locked="0"/>
    </xf>
    <xf numFmtId="0" fontId="22" fillId="0" borderId="1" xfId="0" applyFont="1" applyBorder="1" applyAlignment="1" applyProtection="1">
      <alignment horizontal="center" wrapText="1"/>
      <protection locked="0"/>
    </xf>
    <xf numFmtId="0" fontId="0" fillId="2" borderId="0" xfId="0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168" fontId="0" fillId="5" borderId="0" xfId="0" applyNumberFormat="1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10" fontId="15" fillId="5" borderId="0" xfId="0" applyNumberFormat="1" applyFont="1" applyFill="1" applyAlignment="1" applyProtection="1">
      <alignment horizontal="center"/>
      <protection locked="0"/>
    </xf>
    <xf numFmtId="10" fontId="15" fillId="5" borderId="1" xfId="0" applyNumberFormat="1" applyFont="1" applyFill="1" applyBorder="1" applyAlignment="1" applyProtection="1">
      <alignment horizontal="center"/>
      <protection locked="0"/>
    </xf>
    <xf numFmtId="165" fontId="0" fillId="5" borderId="0" xfId="0" applyNumberFormat="1" applyFill="1"/>
    <xf numFmtId="0" fontId="22" fillId="0" borderId="0" xfId="0" applyFont="1"/>
    <xf numFmtId="0" fontId="0" fillId="0" borderId="0" xfId="0" applyAlignment="1" applyProtection="1">
      <alignment horizont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horizontal="center" wrapText="1"/>
      <protection locked="0"/>
    </xf>
    <xf numFmtId="11" fontId="0" fillId="0" borderId="0" xfId="0" applyNumberFormat="1"/>
    <xf numFmtId="0" fontId="15" fillId="0" borderId="0" xfId="0" applyFont="1" applyAlignment="1" applyProtection="1">
      <alignment horizontal="center"/>
      <protection locked="0"/>
    </xf>
    <xf numFmtId="0" fontId="15" fillId="0" borderId="1" xfId="0" applyFont="1" applyBorder="1" applyAlignment="1" applyProtection="1">
      <protection locked="0"/>
    </xf>
    <xf numFmtId="0" fontId="15" fillId="0" borderId="0" xfId="0" applyFont="1" applyBorder="1" applyAlignment="1" applyProtection="1">
      <protection locked="0"/>
    </xf>
    <xf numFmtId="0" fontId="15" fillId="0" borderId="2" xfId="0" applyFont="1" applyBorder="1" applyAlignment="1" applyProtection="1"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14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0" fillId="0" borderId="2" xfId="0" applyBorder="1" applyAlignment="1" applyProtection="1"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5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4" fillId="8" borderId="13" xfId="0" applyFont="1" applyFill="1" applyBorder="1" applyAlignment="1" applyProtection="1">
      <alignment horizontal="center"/>
      <protection locked="0"/>
    </xf>
    <xf numFmtId="0" fontId="14" fillId="8" borderId="12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Alignment="1" applyProtection="1">
      <alignment horizontal="center"/>
      <protection locked="0"/>
    </xf>
    <xf numFmtId="0" fontId="14" fillId="8" borderId="0" xfId="0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21" fillId="3" borderId="0" xfId="0" applyFont="1" applyFill="1" applyBorder="1" applyAlignment="1" applyProtection="1">
      <alignment horizontal="center"/>
      <protection locked="0"/>
    </xf>
    <xf numFmtId="170" fontId="15" fillId="6" borderId="0" xfId="0" applyNumberFormat="1" applyFont="1" applyFill="1" applyBorder="1" applyAlignment="1" applyProtection="1">
      <alignment horizontal="center"/>
      <protection locked="0"/>
    </xf>
    <xf numFmtId="170" fontId="14" fillId="5" borderId="0" xfId="0" applyNumberFormat="1" applyFont="1" applyFill="1" applyBorder="1" applyAlignment="1" applyProtection="1">
      <alignment horizontal="center"/>
    </xf>
    <xf numFmtId="170" fontId="13" fillId="5" borderId="0" xfId="0" applyNumberFormat="1" applyFont="1" applyFill="1" applyBorder="1" applyAlignment="1" applyProtection="1">
      <alignment horizontal="center"/>
    </xf>
    <xf numFmtId="0" fontId="15" fillId="0" borderId="13" xfId="0" applyFont="1" applyBorder="1" applyAlignment="1" applyProtection="1">
      <alignment horizontal="center" wrapText="1"/>
      <protection locked="0"/>
    </xf>
    <xf numFmtId="0" fontId="15" fillId="0" borderId="12" xfId="0" applyFont="1" applyBorder="1" applyAlignment="1" applyProtection="1">
      <alignment horizontal="center" wrapText="1"/>
      <protection locked="0"/>
    </xf>
    <xf numFmtId="0" fontId="15" fillId="0" borderId="13" xfId="0" applyFont="1" applyBorder="1" applyAlignment="1" applyProtection="1">
      <alignment wrapText="1"/>
      <protection locked="0"/>
    </xf>
    <xf numFmtId="0" fontId="15" fillId="0" borderId="14" xfId="0" applyFont="1" applyBorder="1" applyAlignment="1" applyProtection="1">
      <alignment wrapText="1"/>
      <protection locked="0"/>
    </xf>
    <xf numFmtId="0" fontId="22" fillId="0" borderId="4" xfId="0" applyFont="1" applyBorder="1" applyAlignment="1" applyProtection="1">
      <alignment horizontal="center"/>
      <protection locked="0"/>
    </xf>
    <xf numFmtId="0" fontId="23" fillId="0" borderId="4" xfId="0" applyFont="1" applyBorder="1" applyAlignment="1" applyProtection="1"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wrapText="1"/>
      <protection locked="0"/>
    </xf>
    <xf numFmtId="0" fontId="22" fillId="0" borderId="0" xfId="0" applyFont="1" applyAlignment="1"/>
    <xf numFmtId="0" fontId="0" fillId="0" borderId="0" xfId="0" applyFont="1" applyAlignment="1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Ohm's Law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Expected Current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cat>
            <c:numRef>
              <c:f>'MECH 10 - Lab 04'!$A$12:$A$14</c:f>
              <c:numCache>
                <c:formatCode>0.00</c:formatCode>
                <c:ptCount val="3"/>
                <c:pt idx="0">
                  <c:v>5.03</c:v>
                </c:pt>
                <c:pt idx="1">
                  <c:v>10.1</c:v>
                </c:pt>
                <c:pt idx="2">
                  <c:v>14.98</c:v>
                </c:pt>
              </c:numCache>
            </c:numRef>
          </c:cat>
          <c:val>
            <c:numRef>
              <c:f>'MECH 10 - Lab 04'!$C$2:$C$4</c:f>
              <c:numCache>
                <c:formatCode>###.00E+00</c:formatCode>
                <c:ptCount val="3"/>
                <c:pt idx="0">
                  <c:v>4.9900000000000005E-3</c:v>
                </c:pt>
                <c:pt idx="1">
                  <c:v>0.01</c:v>
                </c:pt>
                <c:pt idx="2">
                  <c:v>1.506E-2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F-45D4-850E-74E5CF670A0F}"/>
            </c:ext>
          </c:extLst>
        </c:ser>
        <c:ser>
          <c:idx val="1"/>
          <c:order val="1"/>
          <c:tx>
            <c:v>R2</c:v>
          </c:tx>
          <c:cat>
            <c:numRef>
              <c:f>'MECH 10 - Lab 04'!$A$12:$A$14</c:f>
              <c:numCache>
                <c:formatCode>0.00</c:formatCode>
                <c:ptCount val="3"/>
                <c:pt idx="0">
                  <c:v>5.03</c:v>
                </c:pt>
                <c:pt idx="1">
                  <c:v>10.1</c:v>
                </c:pt>
                <c:pt idx="2">
                  <c:v>14.98</c:v>
                </c:pt>
              </c:numCache>
            </c:numRef>
          </c:cat>
          <c:val>
            <c:numRef>
              <c:f>'MECH 10 - Lab 04'!$C$7:$C$9</c:f>
              <c:numCache>
                <c:formatCode>###.00E+00</c:formatCode>
                <c:ptCount val="3"/>
                <c:pt idx="0">
                  <c:v>1.074468085106383E-3</c:v>
                </c:pt>
                <c:pt idx="1">
                  <c:v>2.1276595744680851E-3</c:v>
                </c:pt>
                <c:pt idx="2">
                  <c:v>3.2042553191489365E-3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45D4-850E-74E5CF670A0F}"/>
            </c:ext>
          </c:extLst>
        </c:ser>
        <c:ser>
          <c:idx val="2"/>
          <c:order val="2"/>
          <c:tx>
            <c:v>R3</c:v>
          </c:tx>
          <c:cat>
            <c:numRef>
              <c:f>'MECH 10 - Lab 04'!$A$12:$A$14</c:f>
              <c:numCache>
                <c:formatCode>0.00</c:formatCode>
                <c:ptCount val="3"/>
                <c:pt idx="0">
                  <c:v>5.03</c:v>
                </c:pt>
                <c:pt idx="1">
                  <c:v>10.1</c:v>
                </c:pt>
                <c:pt idx="2">
                  <c:v>14.98</c:v>
                </c:pt>
              </c:numCache>
            </c:numRef>
          </c:cat>
          <c:val>
            <c:numRef>
              <c:f>'MECH 10 - Lab 04'!$C$12:$C$14</c:f>
              <c:numCache>
                <c:formatCode>###.00E+00</c:formatCode>
                <c:ptCount val="3"/>
                <c:pt idx="0">
                  <c:v>1.6766666666666668E-3</c:v>
                </c:pt>
                <c:pt idx="1">
                  <c:v>3.3666666666666667E-3</c:v>
                </c:pt>
                <c:pt idx="2">
                  <c:v>4.9933333333333331E-3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F-45D4-850E-74E5CF67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7312"/>
        <c:axId val="160639616"/>
      </c:lineChart>
      <c:catAx>
        <c:axId val="1606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VDC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639616"/>
        <c:crosses val="autoZero"/>
        <c:auto val="1"/>
        <c:lblAlgn val="ctr"/>
        <c:lblOffset val="100"/>
        <c:noMultiLvlLbl val="0"/>
      </c:catAx>
      <c:valAx>
        <c:axId val="16063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Ampere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06373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0.47µF Capacitor Frequency Response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14'!$B$20</c:f>
              <c:strCache>
                <c:ptCount val="1"/>
                <c:pt idx="0">
                  <c:v>Current (A)</c:v>
                </c:pt>
              </c:strCache>
            </c:strRef>
          </c:tx>
          <c:xVal>
            <c:numRef>
              <c:f>'MECH 10 - Lab 14'!$A$21:$A$28</c:f>
              <c:numCache>
                <c:formatCode>General</c:formatCode>
                <c:ptCount val="8"/>
                <c:pt idx="0">
                  <c:v>1099</c:v>
                </c:pt>
                <c:pt idx="1">
                  <c:v>846</c:v>
                </c:pt>
                <c:pt idx="2">
                  <c:v>688</c:v>
                </c:pt>
                <c:pt idx="3">
                  <c:v>525</c:v>
                </c:pt>
                <c:pt idx="4">
                  <c:v>413</c:v>
                </c:pt>
                <c:pt idx="5">
                  <c:v>315</c:v>
                </c:pt>
                <c:pt idx="6">
                  <c:v>212</c:v>
                </c:pt>
                <c:pt idx="7">
                  <c:v>110</c:v>
                </c:pt>
              </c:numCache>
            </c:numRef>
          </c:xVal>
          <c:yVal>
            <c:numRef>
              <c:f>'MECH 10 - Lab 14'!$B$21:$B$28</c:f>
              <c:numCache>
                <c:formatCode>###.00E+00</c:formatCode>
                <c:ptCount val="8"/>
                <c:pt idx="0">
                  <c:v>8.6099999999999996E-3</c:v>
                </c:pt>
                <c:pt idx="1">
                  <c:v>7.79E-3</c:v>
                </c:pt>
                <c:pt idx="2">
                  <c:v>7.0299999999999998E-3</c:v>
                </c:pt>
                <c:pt idx="3">
                  <c:v>5.96E-3</c:v>
                </c:pt>
                <c:pt idx="4">
                  <c:v>5.0600000000000003E-3</c:v>
                </c:pt>
                <c:pt idx="5">
                  <c:v>4.0099999999999997E-3</c:v>
                </c:pt>
                <c:pt idx="6">
                  <c:v>2.82E-3</c:v>
                </c:pt>
                <c:pt idx="7">
                  <c:v>1.5200000000000001E-3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0A1-BEC8-592BB1C2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73600"/>
        <c:axId val="158504448"/>
      </c:scatterChart>
      <c:scatterChart>
        <c:scatterStyle val="smoothMarker"/>
        <c:varyColors val="0"/>
        <c:ser>
          <c:idx val="1"/>
          <c:order val="1"/>
          <c:tx>
            <c:strRef>
              <c:f>'MECH 10 - Lab 14'!$D$20</c:f>
              <c:strCache>
                <c:ptCount val="1"/>
                <c:pt idx="0">
                  <c:v>Expected Reactance (Ω)</c:v>
                </c:pt>
              </c:strCache>
            </c:strRef>
          </c:tx>
          <c:xVal>
            <c:numRef>
              <c:f>'MECH 10 - Lab 14'!$A$21:$A$28</c:f>
              <c:numCache>
                <c:formatCode>General</c:formatCode>
                <c:ptCount val="8"/>
                <c:pt idx="0">
                  <c:v>1099</c:v>
                </c:pt>
                <c:pt idx="1">
                  <c:v>846</c:v>
                </c:pt>
                <c:pt idx="2">
                  <c:v>688</c:v>
                </c:pt>
                <c:pt idx="3">
                  <c:v>525</c:v>
                </c:pt>
                <c:pt idx="4">
                  <c:v>413</c:v>
                </c:pt>
                <c:pt idx="5">
                  <c:v>315</c:v>
                </c:pt>
                <c:pt idx="6">
                  <c:v>212</c:v>
                </c:pt>
                <c:pt idx="7">
                  <c:v>110</c:v>
                </c:pt>
              </c:numCache>
            </c:numRef>
          </c:xVal>
          <c:yVal>
            <c:numRef>
              <c:f>'MECH 10 - Lab 14'!$D$21:$D$28</c:f>
              <c:numCache>
                <c:formatCode>###.00E+00</c:formatCode>
                <c:ptCount val="8"/>
                <c:pt idx="0">
                  <c:v>431.00584701431859</c:v>
                </c:pt>
                <c:pt idx="1">
                  <c:v>559.9000305777023</c:v>
                </c:pt>
                <c:pt idx="2">
                  <c:v>688.4817236464188</c:v>
                </c:pt>
                <c:pt idx="3">
                  <c:v>902.23890641664036</c:v>
                </c:pt>
                <c:pt idx="4">
                  <c:v>1146.9138640889496</c:v>
                </c:pt>
                <c:pt idx="5">
                  <c:v>1503.7315106944004</c:v>
                </c:pt>
                <c:pt idx="6">
                  <c:v>2234.3180465506421</c:v>
                </c:pt>
                <c:pt idx="7">
                  <c:v>4306.1402351703282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5-40A1-BEC8-592BB1C2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8544"/>
        <c:axId val="158506368"/>
      </c:scatterChart>
      <c:valAx>
        <c:axId val="1584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504448"/>
        <c:crosses val="autoZero"/>
        <c:crossBetween val="midCat"/>
      </c:valAx>
      <c:valAx>
        <c:axId val="15850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###.00E+00" sourceLinked="1"/>
        <c:majorTickMark val="none"/>
        <c:minorTickMark val="none"/>
        <c:tickLblPos val="nextTo"/>
        <c:crossAx val="158473600"/>
        <c:crosses val="autoZero"/>
        <c:crossBetween val="midCat"/>
      </c:valAx>
      <c:valAx>
        <c:axId val="158506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Reactance (</a:t>
                </a:r>
                <a:r>
                  <a:rPr lang="el-GR">
                    <a:latin typeface="Arial"/>
                    <a:cs typeface="Arial"/>
                  </a:rPr>
                  <a:t>Ω</a:t>
                </a:r>
                <a:r>
                  <a:rPr lang="en-US"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overlay val="0"/>
        </c:title>
        <c:numFmt formatCode="###.00E+00" sourceLinked="1"/>
        <c:majorTickMark val="out"/>
        <c:minorTickMark val="none"/>
        <c:tickLblPos val="nextTo"/>
        <c:crossAx val="158508544"/>
        <c:crosses val="max"/>
        <c:crossBetween val="midCat"/>
      </c:valAx>
      <c:valAx>
        <c:axId val="1585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8506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24705680806138"/>
          <c:y val="3.9300053569055984E-2"/>
          <c:w val="0.21106270475828129"/>
          <c:h val="0.12956602858652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1N4733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Zeneer Diode</a:t>
            </a:r>
          </a:p>
        </c:rich>
      </c:tx>
      <c:layout>
        <c:manualLayout>
          <c:xMode val="edge"/>
          <c:yMode val="edge"/>
          <c:x val="0.43830648240793335"/>
          <c:y val="3.49854227405247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031453282281063E-2"/>
          <c:y val="0.17201190667693544"/>
          <c:w val="0.68876735289938873"/>
          <c:h val="0.69387853879848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17'!$B$2</c:f>
              <c:strCache>
                <c:ptCount val="1"/>
                <c:pt idx="0">
                  <c:v>Zener Current (µA)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'MECH 10 - Lab 17'!$A$3:$A$23</c:f>
              <c:numCache>
                <c:formatCode>0.00</c:formatCode>
                <c:ptCount val="21"/>
                <c:pt idx="0">
                  <c:v>0.81</c:v>
                </c:pt>
                <c:pt idx="1">
                  <c:v>0.7</c:v>
                </c:pt>
                <c:pt idx="2">
                  <c:v>0.6</c:v>
                </c:pt>
                <c:pt idx="3">
                  <c:v>0.41</c:v>
                </c:pt>
                <c:pt idx="4">
                  <c:v>0</c:v>
                </c:pt>
                <c:pt idx="5">
                  <c:v>-0.32</c:v>
                </c:pt>
                <c:pt idx="6">
                  <c:v>-0.61</c:v>
                </c:pt>
                <c:pt idx="7">
                  <c:v>-0.81</c:v>
                </c:pt>
                <c:pt idx="8">
                  <c:v>-1.49</c:v>
                </c:pt>
                <c:pt idx="9">
                  <c:v>-2.02</c:v>
                </c:pt>
                <c:pt idx="10">
                  <c:v>-2.48</c:v>
                </c:pt>
                <c:pt idx="11">
                  <c:v>-3</c:v>
                </c:pt>
                <c:pt idx="12">
                  <c:v>-3.5</c:v>
                </c:pt>
                <c:pt idx="13">
                  <c:v>-3.93</c:v>
                </c:pt>
                <c:pt idx="14">
                  <c:v>-4.5</c:v>
                </c:pt>
                <c:pt idx="15">
                  <c:v>-4.8099999999999996</c:v>
                </c:pt>
                <c:pt idx="16">
                  <c:v>-5.12</c:v>
                </c:pt>
              </c:numCache>
            </c:numRef>
          </c:xVal>
          <c:yVal>
            <c:numRef>
              <c:f>'MECH 10 - Lab 17'!$B$3:$B$23</c:f>
              <c:numCache>
                <c:formatCode>General</c:formatCode>
                <c:ptCount val="21"/>
                <c:pt idx="0">
                  <c:v>6810</c:v>
                </c:pt>
                <c:pt idx="1">
                  <c:v>1050</c:v>
                </c:pt>
                <c:pt idx="2">
                  <c:v>17.5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-2.8</c:v>
                </c:pt>
                <c:pt idx="10">
                  <c:v>-16.100000000000001</c:v>
                </c:pt>
                <c:pt idx="11">
                  <c:v>-74.3</c:v>
                </c:pt>
                <c:pt idx="12">
                  <c:v>-214.7</c:v>
                </c:pt>
                <c:pt idx="13">
                  <c:v>-890</c:v>
                </c:pt>
                <c:pt idx="14">
                  <c:v>-2508</c:v>
                </c:pt>
                <c:pt idx="15">
                  <c:v>-9150</c:v>
                </c:pt>
                <c:pt idx="16">
                  <c:v>-20150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C-454C-A7F0-BF4980E4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2640"/>
        <c:axId val="159074560"/>
      </c:scatterChart>
      <c:valAx>
        <c:axId val="159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Bias Voltage</a:t>
                </a:r>
              </a:p>
            </c:rich>
          </c:tx>
          <c:layout>
            <c:manualLayout>
              <c:xMode val="edge"/>
              <c:yMode val="edge"/>
              <c:x val="0.3591166021374439"/>
              <c:y val="0.895044956115185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74560"/>
        <c:crosses val="autoZero"/>
        <c:crossBetween val="midCat"/>
      </c:valAx>
      <c:valAx>
        <c:axId val="1590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Zener Current (uA)</a:t>
                </a:r>
              </a:p>
            </c:rich>
          </c:tx>
          <c:layout>
            <c:manualLayout>
              <c:xMode val="edge"/>
              <c:yMode val="edge"/>
              <c:x val="2.9465930018416405E-2"/>
              <c:y val="0.41399478126459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72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1255791921037492"/>
          <c:y val="3.3730171483666652E-2"/>
          <c:w val="0.26782480919167273"/>
          <c:h val="0.10391588806501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Transistor 1 - Current Gain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20'!$H$2:$I$2</c:f>
              <c:strCache>
                <c:ptCount val="1"/>
                <c:pt idx="0">
                  <c:v>Test Circuit Currents</c:v>
                </c:pt>
              </c:strCache>
            </c:strRef>
          </c:tx>
          <c:xVal>
            <c:numRef>
              <c:f>'MECH 10 - Lab 20'!$H$4:$H$8</c:f>
              <c:numCache>
                <c:formatCode>0.0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'MECH 10 - Lab 20'!$I$4:$I$8</c:f>
              <c:numCache>
                <c:formatCode>0.0</c:formatCode>
                <c:ptCount val="5"/>
                <c:pt idx="0">
                  <c:v>1.67</c:v>
                </c:pt>
                <c:pt idx="1">
                  <c:v>3.37</c:v>
                </c:pt>
                <c:pt idx="2">
                  <c:v>8.1999999999999993</c:v>
                </c:pt>
                <c:pt idx="3">
                  <c:v>11</c:v>
                </c:pt>
                <c:pt idx="4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0-4845-9AFB-C7D9C770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3456"/>
        <c:axId val="159297920"/>
      </c:scatterChart>
      <c:valAx>
        <c:axId val="1592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Base Current (µA)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297920"/>
        <c:crosses val="autoZero"/>
        <c:crossBetween val="midCat"/>
      </c:valAx>
      <c:valAx>
        <c:axId val="1592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Collector Current (mA)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2834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Transistor 2 - Current Gain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20'!$H$14:$I$14</c:f>
              <c:strCache>
                <c:ptCount val="1"/>
                <c:pt idx="0">
                  <c:v>Test Circuit Currents</c:v>
                </c:pt>
              </c:strCache>
            </c:strRef>
          </c:tx>
          <c:xVal>
            <c:numRef>
              <c:f>'MECH 10 - Lab 20'!$H$16:$H$20</c:f>
              <c:numCache>
                <c:formatCode>0.0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'MECH 10 - Lab 20'!$I$16:$I$20</c:f>
              <c:numCache>
                <c:formatCode>0.0</c:formatCode>
                <c:ptCount val="5"/>
                <c:pt idx="0">
                  <c:v>1.6</c:v>
                </c:pt>
                <c:pt idx="1">
                  <c:v>2.7</c:v>
                </c:pt>
                <c:pt idx="2">
                  <c:v>3.9</c:v>
                </c:pt>
                <c:pt idx="3">
                  <c:v>4.7</c:v>
                </c:pt>
                <c:pt idx="4">
                  <c:v>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8-4FBB-8C46-B5F07180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7968"/>
        <c:axId val="158549888"/>
      </c:scatterChart>
      <c:valAx>
        <c:axId val="1585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Base Current (µA)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49888"/>
        <c:crosses val="autoZero"/>
        <c:crossBetween val="midCat"/>
      </c:valAx>
      <c:valAx>
        <c:axId val="158549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Collector Current (mA)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47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Transistor 3 - Current Gain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20'!$H$26:$I$26</c:f>
              <c:strCache>
                <c:ptCount val="1"/>
                <c:pt idx="0">
                  <c:v>Test Circuit Currents</c:v>
                </c:pt>
              </c:strCache>
            </c:strRef>
          </c:tx>
          <c:xVal>
            <c:numRef>
              <c:f>'MECH 10 - Lab 20'!$H$28:$H$32</c:f>
              <c:numCache>
                <c:formatCode>0.0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'MECH 10 - Lab 20'!$I$28:$I$32</c:f>
              <c:numCache>
                <c:formatCode>0.0</c:formatCode>
                <c:ptCount val="5"/>
                <c:pt idx="0">
                  <c:v>2.2000000000000002</c:v>
                </c:pt>
                <c:pt idx="1">
                  <c:v>2.8</c:v>
                </c:pt>
                <c:pt idx="2">
                  <c:v>4.0999999999999996</c:v>
                </c:pt>
                <c:pt idx="3">
                  <c:v>5.5</c:v>
                </c:pt>
                <c:pt idx="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6-4EAB-B136-84FBE15E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69984"/>
        <c:axId val="158571904"/>
      </c:scatterChart>
      <c:valAx>
        <c:axId val="1585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Base Current (µA)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71904"/>
        <c:crosses val="autoZero"/>
        <c:crossBetween val="midCat"/>
      </c:valAx>
      <c:valAx>
        <c:axId val="15857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Collector Current (mA)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69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Gate-Source Voltage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 v Drain Current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24'!$C$1</c:f>
              <c:strCache>
                <c:ptCount val="1"/>
                <c:pt idx="0">
                  <c:v>Drain Current ID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27001587044432535"/>
                  <c:y val="-5.8024211385867025E-2"/>
                </c:manualLayout>
              </c:layout>
              <c:numFmt formatCode="General" sourceLinked="0"/>
            </c:trendlineLbl>
          </c:trendline>
          <c:xVal>
            <c:numRef>
              <c:f>'MECH 10 - Lab 24'!$B$2:$B$15</c:f>
              <c:numCache>
                <c:formatCode>0.00</c:formatCode>
                <c:ptCount val="14"/>
                <c:pt idx="0">
                  <c:v>2.75</c:v>
                </c:pt>
                <c:pt idx="1">
                  <c:v>2.8</c:v>
                </c:pt>
                <c:pt idx="2">
                  <c:v>2.93</c:v>
                </c:pt>
                <c:pt idx="3">
                  <c:v>3.02</c:v>
                </c:pt>
                <c:pt idx="4">
                  <c:v>3.11</c:v>
                </c:pt>
                <c:pt idx="5">
                  <c:v>3.22</c:v>
                </c:pt>
                <c:pt idx="6">
                  <c:v>3.39</c:v>
                </c:pt>
                <c:pt idx="7">
                  <c:v>3.49</c:v>
                </c:pt>
                <c:pt idx="8">
                  <c:v>3.52</c:v>
                </c:pt>
                <c:pt idx="9">
                  <c:v>3.65</c:v>
                </c:pt>
                <c:pt idx="10">
                  <c:v>3.74</c:v>
                </c:pt>
                <c:pt idx="11">
                  <c:v>3.76</c:v>
                </c:pt>
                <c:pt idx="12">
                  <c:v>3.77</c:v>
                </c:pt>
                <c:pt idx="13">
                  <c:v>3.85</c:v>
                </c:pt>
              </c:numCache>
            </c:numRef>
          </c:xVal>
          <c:yVal>
            <c:numRef>
              <c:f>'MECH 10 - Lab 24'!$C$2:$C$15</c:f>
              <c:numCache>
                <c:formatCode>###.000E+00</c:formatCode>
                <c:ptCount val="14"/>
                <c:pt idx="0">
                  <c:v>2.6800000000000001E-4</c:v>
                </c:pt>
                <c:pt idx="1">
                  <c:v>5.0100000000000003E-4</c:v>
                </c:pt>
                <c:pt idx="2">
                  <c:v>1.6199999999999999E-3</c:v>
                </c:pt>
                <c:pt idx="3">
                  <c:v>3.3E-3</c:v>
                </c:pt>
                <c:pt idx="4">
                  <c:v>6.7000000000000002E-3</c:v>
                </c:pt>
                <c:pt idx="5">
                  <c:v>1.524E-2</c:v>
                </c:pt>
                <c:pt idx="6">
                  <c:v>4.8800000000000003E-2</c:v>
                </c:pt>
                <c:pt idx="7">
                  <c:v>9.9699999999999997E-2</c:v>
                </c:pt>
                <c:pt idx="8">
                  <c:v>0.13109999999999999</c:v>
                </c:pt>
                <c:pt idx="9">
                  <c:v>0.1983</c:v>
                </c:pt>
                <c:pt idx="10">
                  <c:v>0.24249999999999999</c:v>
                </c:pt>
                <c:pt idx="11">
                  <c:v>0.24709999999999999</c:v>
                </c:pt>
                <c:pt idx="12">
                  <c:v>0.249</c:v>
                </c:pt>
                <c:pt idx="13">
                  <c:v>0.27200000000000002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0-4AD9-99A2-13CF242A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1600"/>
        <c:axId val="161163520"/>
      </c:scatterChart>
      <c:valAx>
        <c:axId val="161161600"/>
        <c:scaling>
          <c:orientation val="minMax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Gate-Source Voltage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163520"/>
        <c:crosses val="autoZero"/>
        <c:crossBetween val="midCat"/>
      </c:valAx>
      <c:valAx>
        <c:axId val="16116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Drain Current</a:t>
                </a:r>
              </a:p>
            </c:rich>
          </c:tx>
          <c:overlay val="0"/>
        </c:title>
        <c:numFmt formatCode="###.000E+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161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Digital to Analog Conversion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27'!$C$21</c:f>
              <c:strCache>
                <c:ptCount val="1"/>
                <c:pt idx="0">
                  <c:v>Voltage Output</c:v>
                </c:pt>
              </c:strCache>
            </c:strRef>
          </c:tx>
          <c:xVal>
            <c:numRef>
              <c:f>'MECH 10 - Lab 27'!$B$22:$B$36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'MECH 10 - Lab 27'!$C$22:$C$36</c:f>
              <c:numCache>
                <c:formatCode>0.000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B-49E4-97E3-B8AEA768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5600"/>
        <c:axId val="159551872"/>
      </c:scatterChart>
      <c:valAx>
        <c:axId val="1595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Decimal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551872"/>
        <c:crosses val="autoZero"/>
        <c:crossBetween val="midCat"/>
      </c:valAx>
      <c:valAx>
        <c:axId val="15955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Analog Output (V)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545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Analog to Digital Conversion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'MECH 10 - Lab 27'!$F$4:$F$18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'MECH 10 - Lab 27'!$A$4:$A$18</c:f>
              <c:numCache>
                <c:formatCode>0.00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F-441E-8640-27CB800C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248"/>
        <c:axId val="162359168"/>
      </c:scatterChart>
      <c:valAx>
        <c:axId val="162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Decimal Value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2359168"/>
        <c:crosses val="autoZero"/>
        <c:crossBetween val="midCat"/>
      </c:valAx>
      <c:valAx>
        <c:axId val="16235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Analog Input (V)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2357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Wet Cell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Voltage Adding</a:t>
            </a:r>
          </a:p>
        </c:rich>
      </c:tx>
      <c:layout>
        <c:manualLayout>
          <c:xMode val="edge"/>
          <c:yMode val="edge"/>
          <c:x val="0.32530974724050227"/>
          <c:y val="5.92592592592592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68331588519801"/>
          <c:y val="0.26124069444128079"/>
          <c:w val="0.52722411352843634"/>
          <c:h val="0.48144494806057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09'!$C$3</c:f>
              <c:strCache>
                <c:ptCount val="1"/>
                <c:pt idx="0">
                  <c:v>Battery Voltage</c:v>
                </c:pt>
              </c:strCache>
            </c:strRef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'MECH 10 - Lab 09'!$B$5:$B$9</c:f>
              <c:numCache>
                <c:formatCode>###.00E+00</c:formatCode>
                <c:ptCount val="5"/>
                <c:pt idx="0">
                  <c:v>10000</c:v>
                </c:pt>
                <c:pt idx="1">
                  <c:v>6800</c:v>
                </c:pt>
                <c:pt idx="2">
                  <c:v>5200</c:v>
                </c:pt>
                <c:pt idx="3">
                  <c:v>2400</c:v>
                </c:pt>
                <c:pt idx="4">
                  <c:v>1000</c:v>
                </c:pt>
              </c:numCache>
            </c:numRef>
          </c:xVal>
          <c:yVal>
            <c:numRef>
              <c:f>'MECH 10 - Lab 09'!$C$5:$C$9</c:f>
              <c:numCache>
                <c:formatCode>0.000</c:formatCode>
                <c:ptCount val="5"/>
                <c:pt idx="0">
                  <c:v>0.9</c:v>
                </c:pt>
                <c:pt idx="1">
                  <c:v>0.98899999999999999</c:v>
                </c:pt>
                <c:pt idx="2">
                  <c:v>0.83</c:v>
                </c:pt>
                <c:pt idx="3">
                  <c:v>0.59499999999999997</c:v>
                </c:pt>
                <c:pt idx="4">
                  <c:v>0.34399999999999997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4-4559-A6ED-6AF83334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2992"/>
        <c:axId val="159894912"/>
      </c:scatterChart>
      <c:scatterChart>
        <c:scatterStyle val="smoothMarker"/>
        <c:varyColors val="0"/>
        <c:ser>
          <c:idx val="1"/>
          <c:order val="1"/>
          <c:tx>
            <c:strRef>
              <c:f>'MECH 10 - Lab 09'!$D$3</c:f>
              <c:strCache>
                <c:ptCount val="1"/>
                <c:pt idx="0">
                  <c:v>Battery Measured Current (Amps)</c:v>
                </c:pt>
              </c:strCache>
            </c:strRef>
          </c:tx>
          <c:xVal>
            <c:numRef>
              <c:f>'MECH 10 - Lab 09'!$B$5:$B$9</c:f>
              <c:numCache>
                <c:formatCode>###.00E+00</c:formatCode>
                <c:ptCount val="5"/>
                <c:pt idx="0">
                  <c:v>10000</c:v>
                </c:pt>
                <c:pt idx="1">
                  <c:v>6800</c:v>
                </c:pt>
                <c:pt idx="2">
                  <c:v>5200</c:v>
                </c:pt>
                <c:pt idx="3">
                  <c:v>2400</c:v>
                </c:pt>
                <c:pt idx="4">
                  <c:v>1000</c:v>
                </c:pt>
              </c:numCache>
            </c:numRef>
          </c:xVal>
          <c:yVal>
            <c:numRef>
              <c:f>'MECH 10 - Lab 09'!$D$5:$D$9</c:f>
              <c:numCache>
                <c:formatCode>###.00E+00</c:formatCode>
                <c:ptCount val="5"/>
                <c:pt idx="0">
                  <c:v>9.0000000000000006E-5</c:v>
                </c:pt>
                <c:pt idx="1">
                  <c:v>1.4544117647058823E-4</c:v>
                </c:pt>
                <c:pt idx="2">
                  <c:v>1.5961538461538462E-4</c:v>
                </c:pt>
                <c:pt idx="3">
                  <c:v>2.4791666666666663E-4</c:v>
                </c:pt>
                <c:pt idx="4">
                  <c:v>3.4399999999999996E-4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4-4559-A6ED-6AF83334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3488"/>
        <c:axId val="161025024"/>
      </c:scatterChart>
      <c:valAx>
        <c:axId val="1598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(Ohms)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894912"/>
        <c:crosses val="autoZero"/>
        <c:crossBetween val="midCat"/>
      </c:valAx>
      <c:valAx>
        <c:axId val="15989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Voltage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892992"/>
        <c:crosses val="autoZero"/>
        <c:crossBetween val="midCat"/>
      </c:valAx>
      <c:valAx>
        <c:axId val="161023488"/>
        <c:scaling>
          <c:orientation val="minMax"/>
        </c:scaling>
        <c:delete val="1"/>
        <c:axPos val="b"/>
        <c:numFmt formatCode="###.00E+00" sourceLinked="1"/>
        <c:majorTickMark val="out"/>
        <c:minorTickMark val="none"/>
        <c:tickLblPos val="none"/>
        <c:crossAx val="161025024"/>
        <c:crosses val="autoZero"/>
        <c:crossBetween val="midCat"/>
      </c:valAx>
      <c:valAx>
        <c:axId val="1610250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Current</a:t>
                </a:r>
              </a:p>
            </c:rich>
          </c:tx>
          <c:overlay val="0"/>
        </c:title>
        <c:numFmt formatCode="###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023488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7635011377002533"/>
          <c:y val="2.6063186546126202E-2"/>
          <c:w val="0.20613176777560338"/>
          <c:h val="0.17288655584718574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Dry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 Cell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Voltage Adding</a:t>
            </a:r>
          </a:p>
        </c:rich>
      </c:tx>
      <c:layout>
        <c:manualLayout>
          <c:xMode val="edge"/>
          <c:yMode val="edge"/>
          <c:x val="0.31717536280727876"/>
          <c:y val="3.237628409031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98862642169741"/>
          <c:y val="0.20587924662433341"/>
          <c:w val="0.52053696412948358"/>
          <c:h val="0.58017435906400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09'!$C$19</c:f>
              <c:strCache>
                <c:ptCount val="1"/>
                <c:pt idx="0">
                  <c:v>Battery Voltage</c:v>
                </c:pt>
              </c:strCache>
            </c:strRef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'MECH 10 - Lab 09'!$B$21:$B$27</c:f>
              <c:numCache>
                <c:formatCode>###.00E+00</c:formatCode>
                <c:ptCount val="7"/>
                <c:pt idx="0">
                  <c:v>5000</c:v>
                </c:pt>
                <c:pt idx="1">
                  <c:v>2400</c:v>
                </c:pt>
                <c:pt idx="2">
                  <c:v>990</c:v>
                </c:pt>
                <c:pt idx="3">
                  <c:v>520</c:v>
                </c:pt>
                <c:pt idx="4">
                  <c:v>240</c:v>
                </c:pt>
                <c:pt idx="5">
                  <c:v>100</c:v>
                </c:pt>
                <c:pt idx="6">
                  <c:v>68</c:v>
                </c:pt>
              </c:numCache>
            </c:numRef>
          </c:xVal>
          <c:yVal>
            <c:numRef>
              <c:f>'MECH 10 - Lab 09'!$C$21:$C$27</c:f>
              <c:numCache>
                <c:formatCode>0.000</c:formatCode>
                <c:ptCount val="7"/>
                <c:pt idx="0">
                  <c:v>3.18</c:v>
                </c:pt>
                <c:pt idx="1">
                  <c:v>3.1709999999999998</c:v>
                </c:pt>
                <c:pt idx="2">
                  <c:v>3.1539999999999999</c:v>
                </c:pt>
                <c:pt idx="3">
                  <c:v>3.141</c:v>
                </c:pt>
                <c:pt idx="4">
                  <c:v>3.1240000000000001</c:v>
                </c:pt>
                <c:pt idx="5">
                  <c:v>3.1</c:v>
                </c:pt>
                <c:pt idx="6">
                  <c:v>3.085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C-4432-81A5-6477F539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6256"/>
        <c:axId val="161058176"/>
      </c:scatterChart>
      <c:scatterChart>
        <c:scatterStyle val="smoothMarker"/>
        <c:varyColors val="0"/>
        <c:ser>
          <c:idx val="1"/>
          <c:order val="1"/>
          <c:tx>
            <c:strRef>
              <c:f>'MECH 10 - Lab 09'!$D$19</c:f>
              <c:strCache>
                <c:ptCount val="1"/>
                <c:pt idx="0">
                  <c:v>Battery Measured Current (Amps)</c:v>
                </c:pt>
              </c:strCache>
            </c:strRef>
          </c:tx>
          <c:xVal>
            <c:numRef>
              <c:f>'MECH 10 - Lab 09'!$B$21:$B$25</c:f>
              <c:numCache>
                <c:formatCode>###.00E+00</c:formatCode>
                <c:ptCount val="5"/>
                <c:pt idx="0">
                  <c:v>5000</c:v>
                </c:pt>
                <c:pt idx="1">
                  <c:v>2400</c:v>
                </c:pt>
                <c:pt idx="2">
                  <c:v>990</c:v>
                </c:pt>
                <c:pt idx="3">
                  <c:v>520</c:v>
                </c:pt>
                <c:pt idx="4">
                  <c:v>240</c:v>
                </c:pt>
              </c:numCache>
            </c:numRef>
          </c:xVal>
          <c:yVal>
            <c:numRef>
              <c:f>'MECH 10 - Lab 09'!$D$21:$D$25</c:f>
              <c:numCache>
                <c:formatCode>###.00E+00</c:formatCode>
                <c:ptCount val="5"/>
                <c:pt idx="0">
                  <c:v>6.3600000000000006E-4</c:v>
                </c:pt>
                <c:pt idx="1">
                  <c:v>1.3212499999999999E-3</c:v>
                </c:pt>
                <c:pt idx="2">
                  <c:v>3.1858585858585858E-3</c:v>
                </c:pt>
                <c:pt idx="3">
                  <c:v>6.040384615384615E-3</c:v>
                </c:pt>
                <c:pt idx="4">
                  <c:v>1.3016666666666668E-2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C-4432-81A5-6477F5391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2640"/>
        <c:axId val="161074176"/>
      </c:scatterChart>
      <c:valAx>
        <c:axId val="1610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(Ohms)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058176"/>
        <c:crosses val="autoZero"/>
        <c:crossBetween val="midCat"/>
      </c:valAx>
      <c:valAx>
        <c:axId val="161058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Voltage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056256"/>
        <c:crosses val="autoZero"/>
        <c:crossBetween val="midCat"/>
      </c:valAx>
      <c:valAx>
        <c:axId val="161072640"/>
        <c:scaling>
          <c:orientation val="minMax"/>
        </c:scaling>
        <c:delete val="1"/>
        <c:axPos val="b"/>
        <c:numFmt formatCode="###.00E+00" sourceLinked="1"/>
        <c:majorTickMark val="out"/>
        <c:minorTickMark val="none"/>
        <c:tickLblPos val="none"/>
        <c:crossAx val="161074176"/>
        <c:crosses val="autoZero"/>
        <c:crossBetween val="midCat"/>
      </c:valAx>
      <c:valAx>
        <c:axId val="1610741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Current</a:t>
                </a:r>
              </a:p>
            </c:rich>
          </c:tx>
          <c:layout>
            <c:manualLayout>
              <c:xMode val="edge"/>
              <c:yMode val="edge"/>
              <c:x val="0.82972149882043356"/>
              <c:y val="0.34062435904121258"/>
            </c:manualLayout>
          </c:layout>
          <c:overlay val="0"/>
        </c:title>
        <c:numFmt formatCode="###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072640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72501465526925868"/>
          <c:y val="3.353635431332673E-2"/>
          <c:w val="0.25831898444601042"/>
          <c:h val="0.16033269020180418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Dry Cell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Current Adding</a:t>
            </a:r>
          </a:p>
        </c:rich>
      </c:tx>
      <c:layout>
        <c:manualLayout>
          <c:xMode val="edge"/>
          <c:yMode val="edge"/>
          <c:x val="0.3279984446388669"/>
          <c:y val="3.2376112348506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98862642169741"/>
          <c:y val="0.20587924662433341"/>
          <c:w val="0.51775619899157221"/>
          <c:h val="0.58017435906400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09'!$C$35</c:f>
              <c:strCache>
                <c:ptCount val="1"/>
                <c:pt idx="0">
                  <c:v>Battery Voltage</c:v>
                </c:pt>
              </c:strCache>
            </c:strRef>
          </c:tx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'MECH 10 - Lab 09'!$B$37:$B$43</c:f>
              <c:numCache>
                <c:formatCode>###.000E+00</c:formatCode>
                <c:ptCount val="7"/>
                <c:pt idx="0">
                  <c:v>815</c:v>
                </c:pt>
                <c:pt idx="1">
                  <c:v>517</c:v>
                </c:pt>
                <c:pt idx="2">
                  <c:v>298</c:v>
                </c:pt>
                <c:pt idx="3">
                  <c:v>149</c:v>
                </c:pt>
                <c:pt idx="4">
                  <c:v>100</c:v>
                </c:pt>
                <c:pt idx="5">
                  <c:v>47</c:v>
                </c:pt>
                <c:pt idx="6">
                  <c:v>10.5</c:v>
                </c:pt>
              </c:numCache>
            </c:numRef>
          </c:xVal>
          <c:yVal>
            <c:numRef>
              <c:f>'MECH 10 - Lab 09'!$C$37:$C$43</c:f>
              <c:numCache>
                <c:formatCode>0.000</c:formatCode>
                <c:ptCount val="7"/>
                <c:pt idx="0">
                  <c:v>1.57</c:v>
                </c:pt>
                <c:pt idx="1">
                  <c:v>1.5669999999999999</c:v>
                </c:pt>
                <c:pt idx="2">
                  <c:v>1.5</c:v>
                </c:pt>
                <c:pt idx="3">
                  <c:v>1.48</c:v>
                </c:pt>
                <c:pt idx="4">
                  <c:v>1.4570000000000001</c:v>
                </c:pt>
                <c:pt idx="5">
                  <c:v>1.43</c:v>
                </c:pt>
                <c:pt idx="6">
                  <c:v>1.3979999999999999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E-4E31-A320-43BD2DDC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76768"/>
        <c:axId val="158178688"/>
      </c:scatterChart>
      <c:scatterChart>
        <c:scatterStyle val="smoothMarker"/>
        <c:varyColors val="0"/>
        <c:ser>
          <c:idx val="1"/>
          <c:order val="1"/>
          <c:tx>
            <c:strRef>
              <c:f>'MECH 10 - Lab 09'!$D$35</c:f>
              <c:strCache>
                <c:ptCount val="1"/>
                <c:pt idx="0">
                  <c:v>Battery Measured Current (Amps)</c:v>
                </c:pt>
              </c:strCache>
            </c:strRef>
          </c:tx>
          <c:xVal>
            <c:numRef>
              <c:f>'MECH 10 - Lab 09'!$B$37:$B$43</c:f>
              <c:numCache>
                <c:formatCode>###.000E+00</c:formatCode>
                <c:ptCount val="7"/>
                <c:pt idx="0">
                  <c:v>815</c:v>
                </c:pt>
                <c:pt idx="1">
                  <c:v>517</c:v>
                </c:pt>
                <c:pt idx="2">
                  <c:v>298</c:v>
                </c:pt>
                <c:pt idx="3">
                  <c:v>149</c:v>
                </c:pt>
                <c:pt idx="4">
                  <c:v>100</c:v>
                </c:pt>
                <c:pt idx="5">
                  <c:v>47</c:v>
                </c:pt>
                <c:pt idx="6">
                  <c:v>10.5</c:v>
                </c:pt>
              </c:numCache>
            </c:numRef>
          </c:xVal>
          <c:yVal>
            <c:numRef>
              <c:f>'MECH 10 - Lab 09'!$D$37:$D$43</c:f>
              <c:numCache>
                <c:formatCode>###.00E+00</c:formatCode>
                <c:ptCount val="7"/>
                <c:pt idx="0">
                  <c:v>1.9263803680981595E-3</c:v>
                </c:pt>
                <c:pt idx="1">
                  <c:v>3.0309477756286264E-3</c:v>
                </c:pt>
                <c:pt idx="2">
                  <c:v>5.0335570469798654E-3</c:v>
                </c:pt>
                <c:pt idx="3">
                  <c:v>9.9328859060402678E-3</c:v>
                </c:pt>
                <c:pt idx="4">
                  <c:v>1.4570000000000001E-2</c:v>
                </c:pt>
                <c:pt idx="5">
                  <c:v>3.0425531914893614E-2</c:v>
                </c:pt>
                <c:pt idx="6">
                  <c:v>0.13314285714285715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9E-4E31-A320-43BD2DDC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93152"/>
        <c:axId val="158194688"/>
      </c:scatterChart>
      <c:valAx>
        <c:axId val="1581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(Ohms)</a:t>
                </a:r>
              </a:p>
            </c:rich>
          </c:tx>
          <c:layout>
            <c:manualLayout>
              <c:xMode val="edge"/>
              <c:yMode val="edge"/>
              <c:x val="0.33464843210388368"/>
              <c:y val="0.892569564262628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78688"/>
        <c:crosses val="autoZero"/>
        <c:crossBetween val="midCat"/>
      </c:valAx>
      <c:valAx>
        <c:axId val="158178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Voltage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76768"/>
        <c:crosses val="autoZero"/>
        <c:crossBetween val="midCat"/>
      </c:valAx>
      <c:valAx>
        <c:axId val="158193152"/>
        <c:scaling>
          <c:orientation val="minMax"/>
        </c:scaling>
        <c:delete val="1"/>
        <c:axPos val="b"/>
        <c:numFmt formatCode="###.000E+00" sourceLinked="1"/>
        <c:majorTickMark val="out"/>
        <c:minorTickMark val="none"/>
        <c:tickLblPos val="none"/>
        <c:crossAx val="158194688"/>
        <c:crosses val="autoZero"/>
        <c:crossBetween val="midCat"/>
      </c:valAx>
      <c:valAx>
        <c:axId val="158194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Battery Current</a:t>
                </a:r>
              </a:p>
            </c:rich>
          </c:tx>
          <c:overlay val="0"/>
        </c:title>
        <c:numFmt formatCode="###.0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19315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74323259300189815"/>
          <c:y val="3.4149177567943771E-2"/>
          <c:w val="0.24290136247589064"/>
          <c:h val="0.17125660089301586"/>
        </c:manualLayout>
      </c:layout>
      <c:overlay val="0"/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Dry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 Cell Internal Resistance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Voltage Adding</a:t>
            </a:r>
          </a:p>
        </c:rich>
      </c:tx>
      <c:layout>
        <c:manualLayout>
          <c:xMode val="edge"/>
          <c:yMode val="edge"/>
          <c:x val="0.31717536280727893"/>
          <c:y val="3.237628409031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478813689145044"/>
          <c:y val="0.19026209080033929"/>
          <c:w val="0.6346744691933015"/>
          <c:h val="0.51993342822204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09'!$E$19</c:f>
              <c:strCache>
                <c:ptCount val="1"/>
                <c:pt idx="0">
                  <c:v>Internal Resistance (Ohms)</c:v>
                </c:pt>
              </c:strCache>
            </c:strRef>
          </c:tx>
          <c:xVal>
            <c:numRef>
              <c:f>'MECH 10 - Lab 09'!$D$21:$D$27</c:f>
              <c:numCache>
                <c:formatCode>###.00E+00</c:formatCode>
                <c:ptCount val="7"/>
                <c:pt idx="0">
                  <c:v>6.3600000000000006E-4</c:v>
                </c:pt>
                <c:pt idx="1">
                  <c:v>1.3212499999999999E-3</c:v>
                </c:pt>
                <c:pt idx="2">
                  <c:v>3.1858585858585858E-3</c:v>
                </c:pt>
                <c:pt idx="3">
                  <c:v>6.040384615384615E-3</c:v>
                </c:pt>
                <c:pt idx="4">
                  <c:v>1.3016666666666668E-2</c:v>
                </c:pt>
                <c:pt idx="5">
                  <c:v>3.1E-2</c:v>
                </c:pt>
                <c:pt idx="6">
                  <c:v>4.5367647058823526E-2</c:v>
                </c:pt>
              </c:numCache>
            </c:numRef>
          </c:xVal>
          <c:yVal>
            <c:numRef>
              <c:f>'MECH 10 - Lab 09'!$E$21:$E$27</c:f>
              <c:numCache>
                <c:formatCode>###.00E+00</c:formatCode>
                <c:ptCount val="7"/>
                <c:pt idx="0">
                  <c:v>12.578616352201268</c:v>
                </c:pt>
                <c:pt idx="1">
                  <c:v>12.866603595080681</c:v>
                </c:pt>
                <c:pt idx="2">
                  <c:v>10.672162333544785</c:v>
                </c:pt>
                <c:pt idx="3">
                  <c:v>7.7809614772365743</c:v>
                </c:pt>
                <c:pt idx="4">
                  <c:v>4.9167733674775969</c:v>
                </c:pt>
                <c:pt idx="5">
                  <c:v>2.8387096774193572</c:v>
                </c:pt>
                <c:pt idx="6">
                  <c:v>2.2703403565640241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E-4623-B690-FEF0608A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3360"/>
        <c:axId val="158246016"/>
      </c:scatterChart>
      <c:valAx>
        <c:axId val="1582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Current (Amps)</a:t>
                </a:r>
              </a:p>
            </c:rich>
          </c:tx>
          <c:overlay val="0"/>
        </c:title>
        <c:numFmt formatCode="###.00E+00" sourceLinked="0"/>
        <c:majorTickMark val="out"/>
        <c:minorTickMark val="none"/>
        <c:tickLblPos val="nextTo"/>
        <c:txPr>
          <a:bodyPr rot="17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46016"/>
        <c:crosses val="autoZero"/>
        <c:crossBetween val="midCat"/>
      </c:valAx>
      <c:valAx>
        <c:axId val="15824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</c:title>
        <c:numFmt formatCode="###.00E+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2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Wet Cell Internal Resistance</a:t>
            </a:r>
            <a:endParaRPr lang="en-US" sz="10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Voltage Adding</a:t>
            </a:r>
          </a:p>
        </c:rich>
      </c:tx>
      <c:layout>
        <c:manualLayout>
          <c:xMode val="edge"/>
          <c:yMode val="edge"/>
          <c:x val="0.31717536280727915"/>
          <c:y val="3.237628409031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478813689145052"/>
          <c:y val="0.19026209080033937"/>
          <c:w val="0.63467446919330184"/>
          <c:h val="0.51993342822204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09'!$E$3</c:f>
              <c:strCache>
                <c:ptCount val="1"/>
                <c:pt idx="0">
                  <c:v>Internal Resistance (Ohms)</c:v>
                </c:pt>
              </c:strCache>
            </c:strRef>
          </c:tx>
          <c:xVal>
            <c:numRef>
              <c:f>'MECH 10 - Lab 09'!$D$5:$D$8</c:f>
              <c:numCache>
                <c:formatCode>###.00E+00</c:formatCode>
                <c:ptCount val="4"/>
                <c:pt idx="0">
                  <c:v>9.0000000000000006E-5</c:v>
                </c:pt>
                <c:pt idx="1">
                  <c:v>1.4544117647058823E-4</c:v>
                </c:pt>
                <c:pt idx="2">
                  <c:v>1.5961538461538462E-4</c:v>
                </c:pt>
                <c:pt idx="3">
                  <c:v>2.4791666666666663E-4</c:v>
                </c:pt>
              </c:numCache>
            </c:numRef>
          </c:xVal>
          <c:yVal>
            <c:numRef>
              <c:f>'MECH 10 - Lab 09'!$E$5:$E$8</c:f>
              <c:numCache>
                <c:formatCode>###.00E+00</c:formatCode>
                <c:ptCount val="4"/>
                <c:pt idx="0">
                  <c:v>11766.666666666668</c:v>
                </c:pt>
                <c:pt idx="1">
                  <c:v>6669.3629929221443</c:v>
                </c:pt>
                <c:pt idx="2">
                  <c:v>7073.2530120481924</c:v>
                </c:pt>
                <c:pt idx="3">
                  <c:v>5501.8487394957992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6-459B-868A-B9E96159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0208"/>
        <c:axId val="158272128"/>
      </c:scatterChart>
      <c:valAx>
        <c:axId val="15827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Current (Amps)</a:t>
                </a:r>
              </a:p>
            </c:rich>
          </c:tx>
          <c:overlay val="0"/>
        </c:title>
        <c:numFmt formatCode="###.00E+00" sourceLinked="0"/>
        <c:majorTickMark val="out"/>
        <c:minorTickMark val="none"/>
        <c:tickLblPos val="nextTo"/>
        <c:txPr>
          <a:bodyPr rot="17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72128"/>
        <c:crosses val="autoZero"/>
        <c:crossBetween val="midCat"/>
      </c:valAx>
      <c:valAx>
        <c:axId val="15827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</c:title>
        <c:numFmt formatCode="###.00E+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70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Dry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 Cell Internal Resistance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Calibri"/>
              </a:rPr>
              <a:t>Current Adding</a:t>
            </a:r>
          </a:p>
        </c:rich>
      </c:tx>
      <c:layout>
        <c:manualLayout>
          <c:xMode val="edge"/>
          <c:yMode val="edge"/>
          <c:x val="0.31717536280727915"/>
          <c:y val="3.237628409031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478813689145052"/>
          <c:y val="0.19026209080033937"/>
          <c:w val="0.63467446919330184"/>
          <c:h val="0.519933428222044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'MECH 10 - Lab 09'!$E$35</c:f>
              <c:strCache>
                <c:ptCount val="1"/>
                <c:pt idx="0">
                  <c:v>Internal Resistance (Ohms)</c:v>
                </c:pt>
              </c:strCache>
            </c:strRef>
          </c:tx>
          <c:xVal>
            <c:numRef>
              <c:f>'MECH 10 - Lab 09'!$D$37:$D$43</c:f>
              <c:numCache>
                <c:formatCode>###.00E+00</c:formatCode>
                <c:ptCount val="7"/>
                <c:pt idx="0">
                  <c:v>1.9263803680981595E-3</c:v>
                </c:pt>
                <c:pt idx="1">
                  <c:v>3.0309477756286264E-3</c:v>
                </c:pt>
                <c:pt idx="2">
                  <c:v>5.0335570469798654E-3</c:v>
                </c:pt>
                <c:pt idx="3">
                  <c:v>9.9328859060402678E-3</c:v>
                </c:pt>
                <c:pt idx="4">
                  <c:v>1.4570000000000001E-2</c:v>
                </c:pt>
                <c:pt idx="5">
                  <c:v>3.0425531914893614E-2</c:v>
                </c:pt>
                <c:pt idx="6">
                  <c:v>0.13314285714285715</c:v>
                </c:pt>
              </c:numCache>
            </c:numRef>
          </c:xVal>
          <c:yVal>
            <c:numRef>
              <c:f>'MECH 10 - Lab 09'!$E$37:$E$43</c:f>
              <c:numCache>
                <c:formatCode>###.00E+00</c:formatCode>
                <c:ptCount val="7"/>
                <c:pt idx="0">
                  <c:v>1.038216560509555</c:v>
                </c:pt>
                <c:pt idx="1">
                  <c:v>1.6496490108487938</c:v>
                </c:pt>
                <c:pt idx="2">
                  <c:v>14.304000000000014</c:v>
                </c:pt>
                <c:pt idx="3">
                  <c:v>9.2621621621621717</c:v>
                </c:pt>
                <c:pt idx="4">
                  <c:v>7.8929306794783791</c:v>
                </c:pt>
                <c:pt idx="5">
                  <c:v>4.6671328671328718</c:v>
                </c:pt>
                <c:pt idx="6">
                  <c:v>1.3068669527897008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7-4FA2-A707-578A872E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8128"/>
        <c:axId val="158310784"/>
      </c:scatterChart>
      <c:valAx>
        <c:axId val="1582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Load Current (Amps)</a:t>
                </a:r>
              </a:p>
            </c:rich>
          </c:tx>
          <c:overlay val="0"/>
        </c:title>
        <c:numFmt formatCode="###.00E+00" sourceLinked="0"/>
        <c:majorTickMark val="out"/>
        <c:minorTickMark val="none"/>
        <c:tickLblPos val="nextTo"/>
        <c:txPr>
          <a:bodyPr rot="17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310784"/>
        <c:crosses val="autoZero"/>
        <c:crossBetween val="midCat"/>
      </c:valAx>
      <c:valAx>
        <c:axId val="158310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Internal Resistance (Ohms)</a:t>
                </a:r>
              </a:p>
            </c:rich>
          </c:tx>
          <c:overlay val="0"/>
        </c:title>
        <c:numFmt formatCode="###.00E+0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288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RC Time Constants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13'!$B$2</c:f>
              <c:strCache>
                <c:ptCount val="1"/>
                <c:pt idx="0">
                  <c:v>Charge
Vout</c:v>
                </c:pt>
              </c:strCache>
            </c:strRef>
          </c:tx>
          <c:xVal>
            <c:numRef>
              <c:f>'MECH 10 - Lab 13'!$A$3:$A$10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xVal>
          <c:yVal>
            <c:numRef>
              <c:f>'MECH 10 - Lab 13'!$B$3:$B$10</c:f>
              <c:numCache>
                <c:formatCode>###.00E+00</c:formatCode>
                <c:ptCount val="8"/>
                <c:pt idx="0">
                  <c:v>2.3199999999999998</c:v>
                </c:pt>
                <c:pt idx="1">
                  <c:v>4.34</c:v>
                </c:pt>
                <c:pt idx="2">
                  <c:v>5.86</c:v>
                </c:pt>
                <c:pt idx="3">
                  <c:v>7.82</c:v>
                </c:pt>
                <c:pt idx="4">
                  <c:v>8.44</c:v>
                </c:pt>
                <c:pt idx="5">
                  <c:v>8.67</c:v>
                </c:pt>
                <c:pt idx="6">
                  <c:v>8.82</c:v>
                </c:pt>
                <c:pt idx="7">
                  <c:v>8.86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2-482A-9F18-58AC4686EC4D}"/>
            </c:ext>
          </c:extLst>
        </c:ser>
        <c:ser>
          <c:idx val="1"/>
          <c:order val="1"/>
          <c:tx>
            <c:strRef>
              <c:f>'MECH 10 - Lab 13'!$C$2</c:f>
              <c:strCache>
                <c:ptCount val="1"/>
                <c:pt idx="0">
                  <c:v>Discharge
Vout</c:v>
                </c:pt>
              </c:strCache>
            </c:strRef>
          </c:tx>
          <c:xVal>
            <c:numRef>
              <c:f>'MECH 10 - Lab 13'!$A$3:$A$10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</c:numCache>
            </c:numRef>
          </c:xVal>
          <c:yVal>
            <c:numRef>
              <c:f>'MECH 10 - Lab 13'!$C$3:$C$10</c:f>
              <c:numCache>
                <c:formatCode>###.00E+00</c:formatCode>
                <c:ptCount val="8"/>
                <c:pt idx="0">
                  <c:v>6.6</c:v>
                </c:pt>
                <c:pt idx="1">
                  <c:v>4.7699999999999996</c:v>
                </c:pt>
                <c:pt idx="2">
                  <c:v>3.08</c:v>
                </c:pt>
                <c:pt idx="3">
                  <c:v>1.1299999999999999</c:v>
                </c:pt>
                <c:pt idx="4">
                  <c:v>0.4</c:v>
                </c:pt>
                <c:pt idx="5">
                  <c:v>0.15</c:v>
                </c:pt>
                <c:pt idx="6">
                  <c:v>0.03</c:v>
                </c:pt>
                <c:pt idx="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2-482A-9F18-58AC4686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32"/>
        <c:axId val="158349952"/>
      </c:scatterChart>
      <c:valAx>
        <c:axId val="15834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Charge 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349952"/>
        <c:crosses val="autoZero"/>
        <c:crossBetween val="midCat"/>
        <c:majorUnit val="15"/>
      </c:valAx>
      <c:valAx>
        <c:axId val="158349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3480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mH Inductor</a:t>
            </a:r>
            <a:r>
              <a:rPr lang="en-US" baseline="0"/>
              <a:t> Frequency Response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 10 - Lab 14'!$B$4</c:f>
              <c:strCache>
                <c:ptCount val="1"/>
                <c:pt idx="0">
                  <c:v>Current (A)</c:v>
                </c:pt>
              </c:strCache>
            </c:strRef>
          </c:tx>
          <c:xVal>
            <c:numRef>
              <c:f>'MECH 10 - Lab 14'!$A$5:$A$12</c:f>
              <c:numCache>
                <c:formatCode>General</c:formatCode>
                <c:ptCount val="8"/>
                <c:pt idx="0">
                  <c:v>10780</c:v>
                </c:pt>
                <c:pt idx="1">
                  <c:v>8818</c:v>
                </c:pt>
                <c:pt idx="2">
                  <c:v>6127</c:v>
                </c:pt>
                <c:pt idx="3">
                  <c:v>4579</c:v>
                </c:pt>
                <c:pt idx="4">
                  <c:v>3501</c:v>
                </c:pt>
                <c:pt idx="5">
                  <c:v>2844</c:v>
                </c:pt>
                <c:pt idx="6">
                  <c:v>1916</c:v>
                </c:pt>
                <c:pt idx="7">
                  <c:v>1190</c:v>
                </c:pt>
              </c:numCache>
            </c:numRef>
          </c:xVal>
          <c:yVal>
            <c:numRef>
              <c:f>'MECH 10 - Lab 14'!$B$5:$B$12</c:f>
              <c:numCache>
                <c:formatCode>###.00E+00</c:formatCode>
                <c:ptCount val="8"/>
                <c:pt idx="0">
                  <c:v>1.0200000000000001E-3</c:v>
                </c:pt>
                <c:pt idx="1">
                  <c:v>1.57E-3</c:v>
                </c:pt>
                <c:pt idx="2">
                  <c:v>2.6800000000000001E-3</c:v>
                </c:pt>
                <c:pt idx="3">
                  <c:v>3.6900000000000001E-3</c:v>
                </c:pt>
                <c:pt idx="4">
                  <c:v>4.6600000000000001E-3</c:v>
                </c:pt>
                <c:pt idx="5">
                  <c:v>5.4299999999999999E-3</c:v>
                </c:pt>
                <c:pt idx="6">
                  <c:v>6.7400000000000003E-3</c:v>
                </c:pt>
                <c:pt idx="7">
                  <c:v>7.8700000000000003E-3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8-4C7B-8680-734E0658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2176"/>
        <c:axId val="158644096"/>
      </c:scatterChart>
      <c:scatterChart>
        <c:scatterStyle val="smoothMarker"/>
        <c:varyColors val="0"/>
        <c:ser>
          <c:idx val="1"/>
          <c:order val="1"/>
          <c:tx>
            <c:strRef>
              <c:f>'MECH 10 - Lab 14'!$D$4</c:f>
              <c:strCache>
                <c:ptCount val="1"/>
                <c:pt idx="0">
                  <c:v>Expected Reactance (Ω)</c:v>
                </c:pt>
              </c:strCache>
            </c:strRef>
          </c:tx>
          <c:xVal>
            <c:numRef>
              <c:f>'MECH 10 - Lab 14'!$A$5:$A$12</c:f>
              <c:numCache>
                <c:formatCode>General</c:formatCode>
                <c:ptCount val="8"/>
                <c:pt idx="0">
                  <c:v>10780</c:v>
                </c:pt>
                <c:pt idx="1">
                  <c:v>8818</c:v>
                </c:pt>
                <c:pt idx="2">
                  <c:v>6127</c:v>
                </c:pt>
                <c:pt idx="3">
                  <c:v>4579</c:v>
                </c:pt>
                <c:pt idx="4">
                  <c:v>3501</c:v>
                </c:pt>
                <c:pt idx="5">
                  <c:v>2844</c:v>
                </c:pt>
                <c:pt idx="6">
                  <c:v>1916</c:v>
                </c:pt>
                <c:pt idx="7">
                  <c:v>1190</c:v>
                </c:pt>
              </c:numCache>
            </c:numRef>
          </c:xVal>
          <c:yVal>
            <c:numRef>
              <c:f>'MECH 10 - Lab 14'!$D$5:$D$12</c:f>
              <c:numCache>
                <c:formatCode>###.00E+00</c:formatCode>
                <c:ptCount val="8"/>
                <c:pt idx="0">
                  <c:v>3461.142891942332</c:v>
                </c:pt>
                <c:pt idx="1">
                  <c:v>2831.2020427780599</c:v>
                </c:pt>
                <c:pt idx="2">
                  <c:v>1967.2006028692645</c:v>
                </c:pt>
                <c:pt idx="3">
                  <c:v>1470.1830521524992</c:v>
                </c:pt>
                <c:pt idx="4">
                  <c:v>1124.0687629582658</c:v>
                </c:pt>
                <c:pt idx="5">
                  <c:v>913.12526759591765</c:v>
                </c:pt>
                <c:pt idx="6">
                  <c:v>615.17159378121607</c:v>
                </c:pt>
                <c:pt idx="7">
                  <c:v>382.07421534428346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8-4C7B-8680-734E0658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8192"/>
        <c:axId val="158646272"/>
      </c:scatterChart>
      <c:valAx>
        <c:axId val="1586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644096"/>
        <c:crosses val="autoZero"/>
        <c:crossBetween val="midCat"/>
      </c:valAx>
      <c:valAx>
        <c:axId val="15864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(mA)</a:t>
                </a:r>
              </a:p>
            </c:rich>
          </c:tx>
          <c:overlay val="0"/>
        </c:title>
        <c:numFmt formatCode="###.00E+00" sourceLinked="1"/>
        <c:majorTickMark val="none"/>
        <c:minorTickMark val="none"/>
        <c:tickLblPos val="nextTo"/>
        <c:crossAx val="158642176"/>
        <c:crosses val="autoZero"/>
        <c:crossBetween val="midCat"/>
      </c:valAx>
      <c:valAx>
        <c:axId val="15864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Reactance (</a:t>
                </a:r>
                <a:r>
                  <a:rPr lang="el-GR">
                    <a:latin typeface="Arial"/>
                    <a:cs typeface="Arial"/>
                  </a:rPr>
                  <a:t>Ω</a:t>
                </a:r>
                <a:r>
                  <a:rPr lang="en-US"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overlay val="0"/>
        </c:title>
        <c:numFmt formatCode="###.00E+00" sourceLinked="1"/>
        <c:majorTickMark val="out"/>
        <c:minorTickMark val="none"/>
        <c:tickLblPos val="nextTo"/>
        <c:crossAx val="158648192"/>
        <c:crosses val="max"/>
        <c:crossBetween val="midCat"/>
      </c:valAx>
      <c:valAx>
        <c:axId val="1586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864627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76866379884041902"/>
          <c:y val="3.4243606561811128E-2"/>
          <c:w val="0.21129263138402166"/>
          <c:h val="0.1304499342078543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133350</xdr:rowOff>
    </xdr:from>
    <xdr:to>
      <xdr:col>13</xdr:col>
      <xdr:colOff>314325</xdr:colOff>
      <xdr:row>16</xdr:row>
      <xdr:rowOff>38100</xdr:rowOff>
    </xdr:to>
    <xdr:graphicFrame macro="">
      <xdr:nvGraphicFramePr>
        <xdr:cNvPr id="47377" name="Chart 1">
          <a:extLst>
            <a:ext uri="{FF2B5EF4-FFF2-40B4-BE49-F238E27FC236}">
              <a16:creationId xmlns:a16="http://schemas.microsoft.com/office/drawing/2014/main" id="{00000000-0008-0000-0000-000011B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142875</xdr:rowOff>
    </xdr:from>
    <xdr:to>
      <xdr:col>14</xdr:col>
      <xdr:colOff>447675</xdr:colOff>
      <xdr:row>15</xdr:row>
      <xdr:rowOff>123825</xdr:rowOff>
    </xdr:to>
    <xdr:graphicFrame macro="">
      <xdr:nvGraphicFramePr>
        <xdr:cNvPr id="17337" name="Chart 1">
          <a:extLst>
            <a:ext uri="{FF2B5EF4-FFF2-40B4-BE49-F238E27FC236}">
              <a16:creationId xmlns:a16="http://schemas.microsoft.com/office/drawing/2014/main" id="{00000000-0008-0000-0400-0000B94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17</xdr:row>
      <xdr:rowOff>133351</xdr:rowOff>
    </xdr:from>
    <xdr:to>
      <xdr:col>14</xdr:col>
      <xdr:colOff>457200</xdr:colOff>
      <xdr:row>30</xdr:row>
      <xdr:rowOff>114301</xdr:rowOff>
    </xdr:to>
    <xdr:graphicFrame macro="">
      <xdr:nvGraphicFramePr>
        <xdr:cNvPr id="17338" name="Chart 2">
          <a:extLst>
            <a:ext uri="{FF2B5EF4-FFF2-40B4-BE49-F238E27FC236}">
              <a16:creationId xmlns:a16="http://schemas.microsoft.com/office/drawing/2014/main" id="{00000000-0008-0000-0400-0000BA4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32</xdr:row>
      <xdr:rowOff>9525</xdr:rowOff>
    </xdr:from>
    <xdr:to>
      <xdr:col>14</xdr:col>
      <xdr:colOff>485775</xdr:colOff>
      <xdr:row>45</xdr:row>
      <xdr:rowOff>133350</xdr:rowOff>
    </xdr:to>
    <xdr:graphicFrame macro="">
      <xdr:nvGraphicFramePr>
        <xdr:cNvPr id="17339" name="Chart 3">
          <a:extLst>
            <a:ext uri="{FF2B5EF4-FFF2-40B4-BE49-F238E27FC236}">
              <a16:creationId xmlns:a16="http://schemas.microsoft.com/office/drawing/2014/main" id="{00000000-0008-0000-0400-0000BB43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150718</xdr:rowOff>
    </xdr:from>
    <xdr:to>
      <xdr:col>23</xdr:col>
      <xdr:colOff>19050</xdr:colOff>
      <xdr:row>30</xdr:row>
      <xdr:rowOff>112619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11207</xdr:colOff>
      <xdr:row>1</xdr:row>
      <xdr:rowOff>33617</xdr:rowOff>
    </xdr:from>
    <xdr:to>
      <xdr:col>23</xdr:col>
      <xdr:colOff>30257</xdr:colOff>
      <xdr:row>15</xdr:row>
      <xdr:rowOff>112058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23</xdr:col>
      <xdr:colOff>19050</xdr:colOff>
      <xdr:row>45</xdr:row>
      <xdr:rowOff>100853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57150</xdr:rowOff>
    </xdr:from>
    <xdr:to>
      <xdr:col>12</xdr:col>
      <xdr:colOff>314325</xdr:colOff>
      <xdr:row>16</xdr:row>
      <xdr:rowOff>38100</xdr:rowOff>
    </xdr:to>
    <xdr:graphicFrame macro="">
      <xdr:nvGraphicFramePr>
        <xdr:cNvPr id="166143" name="Chart 1">
          <a:extLst>
            <a:ext uri="{FF2B5EF4-FFF2-40B4-BE49-F238E27FC236}">
              <a16:creationId xmlns:a16="http://schemas.microsoft.com/office/drawing/2014/main" id="{00000000-0008-0000-0600-0000FF8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115956</xdr:colOff>
      <xdr:row>0</xdr:row>
      <xdr:rowOff>32301</xdr:rowOff>
    </xdr:from>
    <xdr:to>
      <xdr:col>19</xdr:col>
      <xdr:colOff>364435</xdr:colOff>
      <xdr:row>19</xdr:row>
      <xdr:rowOff>182216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140802</xdr:colOff>
      <xdr:row>22</xdr:row>
      <xdr:rowOff>132520</xdr:rowOff>
    </xdr:from>
    <xdr:to>
      <xdr:col>19</xdr:col>
      <xdr:colOff>397564</xdr:colOff>
      <xdr:row>44</xdr:row>
      <xdr:rowOff>33129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7</xdr:row>
          <xdr:rowOff>28575</xdr:rowOff>
        </xdr:from>
        <xdr:to>
          <xdr:col>19</xdr:col>
          <xdr:colOff>133350</xdr:colOff>
          <xdr:row>9</xdr:row>
          <xdr:rowOff>66675</xdr:rowOff>
        </xdr:to>
        <xdr:sp macro="" textlink="">
          <xdr:nvSpPr>
            <xdr:cNvPr id="54273" name="Object 1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07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85725</xdr:colOff>
          <xdr:row>30</xdr:row>
          <xdr:rowOff>28575</xdr:rowOff>
        </xdr:from>
        <xdr:to>
          <xdr:col>19</xdr:col>
          <xdr:colOff>180975</xdr:colOff>
          <xdr:row>33</xdr:row>
          <xdr:rowOff>142875</xdr:rowOff>
        </xdr:to>
        <xdr:sp macro="" textlink="">
          <xdr:nvSpPr>
            <xdr:cNvPr id="54274" name="Object 2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00000000-0008-0000-0700-00000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295275</xdr:colOff>
      <xdr:row>21</xdr:row>
      <xdr:rowOff>28575</xdr:rowOff>
    </xdr:to>
    <xdr:graphicFrame macro="">
      <xdr:nvGraphicFramePr>
        <xdr:cNvPr id="52497" name="Chart 2">
          <a:extLst>
            <a:ext uri="{FF2B5EF4-FFF2-40B4-BE49-F238E27FC236}">
              <a16:creationId xmlns:a16="http://schemas.microsoft.com/office/drawing/2014/main" id="{00000000-0008-0000-0900-000011C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19050</xdr:rowOff>
    </xdr:from>
    <xdr:to>
      <xdr:col>20</xdr:col>
      <xdr:colOff>495300</xdr:colOff>
      <xdr:row>10</xdr:row>
      <xdr:rowOff>285750</xdr:rowOff>
    </xdr:to>
    <xdr:graphicFrame macro="">
      <xdr:nvGraphicFramePr>
        <xdr:cNvPr id="3233930" name="Chart 8">
          <a:extLst>
            <a:ext uri="{FF2B5EF4-FFF2-40B4-BE49-F238E27FC236}">
              <a16:creationId xmlns:a16="http://schemas.microsoft.com/office/drawing/2014/main" id="{00000000-0008-0000-0B00-00008A58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495300</xdr:colOff>
      <xdr:row>22</xdr:row>
      <xdr:rowOff>152400</xdr:rowOff>
    </xdr:to>
    <xdr:graphicFrame macro="">
      <xdr:nvGraphicFramePr>
        <xdr:cNvPr id="3233931" name="Chart 8">
          <a:extLst>
            <a:ext uri="{FF2B5EF4-FFF2-40B4-BE49-F238E27FC236}">
              <a16:creationId xmlns:a16="http://schemas.microsoft.com/office/drawing/2014/main" id="{00000000-0008-0000-0B00-00008B58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25</xdr:row>
      <xdr:rowOff>19050</xdr:rowOff>
    </xdr:from>
    <xdr:to>
      <xdr:col>20</xdr:col>
      <xdr:colOff>504825</xdr:colOff>
      <xdr:row>34</xdr:row>
      <xdr:rowOff>247650</xdr:rowOff>
    </xdr:to>
    <xdr:graphicFrame macro="">
      <xdr:nvGraphicFramePr>
        <xdr:cNvPr id="3233932" name="Chart 8">
          <a:extLst>
            <a:ext uri="{FF2B5EF4-FFF2-40B4-BE49-F238E27FC236}">
              <a16:creationId xmlns:a16="http://schemas.microsoft.com/office/drawing/2014/main" id="{00000000-0008-0000-0B00-00008C58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4</xdr:row>
          <xdr:rowOff>47625</xdr:rowOff>
        </xdr:from>
        <xdr:to>
          <xdr:col>4</xdr:col>
          <xdr:colOff>485775</xdr:colOff>
          <xdr:row>7</xdr:row>
          <xdr:rowOff>190500</xdr:rowOff>
        </xdr:to>
        <xdr:sp macro="" textlink="">
          <xdr:nvSpPr>
            <xdr:cNvPr id="53277" name="Object 29" hidden="1">
              <a:extLst>
                <a:ext uri="{63B3BB69-23CF-44E3-9099-C40C66FF867C}">
                  <a14:compatExt spid="_x0000_s53277"/>
                </a:ext>
                <a:ext uri="{FF2B5EF4-FFF2-40B4-BE49-F238E27FC236}">
                  <a16:creationId xmlns:a16="http://schemas.microsoft.com/office/drawing/2014/main" id="{00000000-0008-0000-0B00-00001D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17</xdr:row>
          <xdr:rowOff>47625</xdr:rowOff>
        </xdr:from>
        <xdr:to>
          <xdr:col>4</xdr:col>
          <xdr:colOff>476250</xdr:colOff>
          <xdr:row>20</xdr:row>
          <xdr:rowOff>190500</xdr:rowOff>
        </xdr:to>
        <xdr:sp macro="" textlink="">
          <xdr:nvSpPr>
            <xdr:cNvPr id="53284" name="Object 36" hidden="1">
              <a:extLst>
                <a:ext uri="{63B3BB69-23CF-44E3-9099-C40C66FF867C}">
                  <a14:compatExt spid="_x0000_s53284"/>
                </a:ext>
                <a:ext uri="{FF2B5EF4-FFF2-40B4-BE49-F238E27FC236}">
                  <a16:creationId xmlns:a16="http://schemas.microsoft.com/office/drawing/2014/main" id="{00000000-0008-0000-0B00-00002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28</xdr:row>
          <xdr:rowOff>47625</xdr:rowOff>
        </xdr:from>
        <xdr:to>
          <xdr:col>4</xdr:col>
          <xdr:colOff>476250</xdr:colOff>
          <xdr:row>31</xdr:row>
          <xdr:rowOff>190500</xdr:rowOff>
        </xdr:to>
        <xdr:sp macro="" textlink="">
          <xdr:nvSpPr>
            <xdr:cNvPr id="53285" name="Object 37" hidden="1">
              <a:extLst>
                <a:ext uri="{63B3BB69-23CF-44E3-9099-C40C66FF867C}">
                  <a14:compatExt spid="_x0000_s53285"/>
                </a:ext>
                <a:ext uri="{FF2B5EF4-FFF2-40B4-BE49-F238E27FC236}">
                  <a16:creationId xmlns:a16="http://schemas.microsoft.com/office/drawing/2014/main" id="{00000000-0008-0000-0B00-00002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243922</xdr:colOff>
      <xdr:row>0</xdr:row>
      <xdr:rowOff>149088</xdr:rowOff>
    </xdr:from>
    <xdr:to>
      <xdr:col>14</xdr:col>
      <xdr:colOff>472522</xdr:colOff>
      <xdr:row>25</xdr:row>
      <xdr:rowOff>88211</xdr:rowOff>
    </xdr:to>
    <xdr:graphicFrame macro="">
      <xdr:nvGraphicFramePr>
        <xdr:cNvPr id="1318" name="Chart 1">
          <a:extLst>
            <a:ext uri="{FF2B5EF4-FFF2-40B4-BE49-F238E27FC236}">
              <a16:creationId xmlns:a16="http://schemas.microsoft.com/office/drawing/2014/main" id="{00000000-0008-0000-0C00-000026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21</xdr:row>
      <xdr:rowOff>0</xdr:rowOff>
    </xdr:from>
    <xdr:to>
      <xdr:col>16</xdr:col>
      <xdr:colOff>257175</xdr:colOff>
      <xdr:row>35</xdr:row>
      <xdr:rowOff>47625</xdr:rowOff>
    </xdr:to>
    <xdr:graphicFrame macro="">
      <xdr:nvGraphicFramePr>
        <xdr:cNvPr id="213475" name="Chart 2">
          <a:extLst>
            <a:ext uri="{FF2B5EF4-FFF2-40B4-BE49-F238E27FC236}">
              <a16:creationId xmlns:a16="http://schemas.microsoft.com/office/drawing/2014/main" id="{00000000-0008-0000-0D00-0000E34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</xdr:row>
      <xdr:rowOff>47625</xdr:rowOff>
    </xdr:from>
    <xdr:to>
      <xdr:col>16</xdr:col>
      <xdr:colOff>304800</xdr:colOff>
      <xdr:row>17</xdr:row>
      <xdr:rowOff>66675</xdr:rowOff>
    </xdr:to>
    <xdr:graphicFrame macro="">
      <xdr:nvGraphicFramePr>
        <xdr:cNvPr id="213476" name="Chart 2">
          <a:extLst>
            <a:ext uri="{FF2B5EF4-FFF2-40B4-BE49-F238E27FC236}">
              <a16:creationId xmlns:a16="http://schemas.microsoft.com/office/drawing/2014/main" id="{00000000-0008-0000-0D00-0000E441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5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7"/>
  <sheetViews>
    <sheetView topLeftCell="A7" workbookViewId="0">
      <selection activeCell="A17" sqref="A17"/>
    </sheetView>
  </sheetViews>
  <sheetFormatPr defaultRowHeight="12.75" x14ac:dyDescent="0.2"/>
  <cols>
    <col min="1" max="1" width="16.7109375" style="10" customWidth="1"/>
    <col min="2" max="2" width="17.5703125" style="10" customWidth="1"/>
    <col min="3" max="3" width="18.5703125" style="10" customWidth="1"/>
    <col min="4" max="4" width="19.7109375" style="10" customWidth="1"/>
    <col min="5" max="5" width="15.85546875" style="10" customWidth="1"/>
    <col min="6" max="16384" width="9.140625" style="10"/>
  </cols>
  <sheetData>
    <row r="1" spans="1:5" ht="18" thickBot="1" x14ac:dyDescent="0.25">
      <c r="A1" s="38" t="s">
        <v>8</v>
      </c>
      <c r="B1" s="39" t="s">
        <v>70</v>
      </c>
      <c r="C1" s="39" t="s">
        <v>71</v>
      </c>
      <c r="D1" s="39" t="s">
        <v>72</v>
      </c>
      <c r="E1" s="39" t="s">
        <v>9</v>
      </c>
    </row>
    <row r="2" spans="1:5" ht="16.5" thickBot="1" x14ac:dyDescent="0.25">
      <c r="A2" s="40">
        <v>4.99</v>
      </c>
      <c r="B2" s="41">
        <v>1000</v>
      </c>
      <c r="C2" s="45">
        <f>A2/B2</f>
        <v>4.9900000000000005E-3</v>
      </c>
      <c r="D2" s="41">
        <v>5.0099999999999997E-3</v>
      </c>
      <c r="E2" s="46">
        <f>(D2-C2)/C2</f>
        <v>4.0080160320639649E-3</v>
      </c>
    </row>
    <row r="3" spans="1:5" ht="16.5" thickBot="1" x14ac:dyDescent="0.25">
      <c r="A3" s="40">
        <v>10</v>
      </c>
      <c r="B3" s="41">
        <v>1000</v>
      </c>
      <c r="C3" s="45">
        <f>A3/B3</f>
        <v>0.01</v>
      </c>
      <c r="D3" s="41">
        <v>1.005E-2</v>
      </c>
      <c r="E3" s="46">
        <f>(D3-C3)/C3</f>
        <v>4.9999999999999697E-3</v>
      </c>
    </row>
    <row r="4" spans="1:5" ht="16.5" thickBot="1" x14ac:dyDescent="0.25">
      <c r="A4" s="40">
        <v>15.06</v>
      </c>
      <c r="B4" s="41">
        <v>1000</v>
      </c>
      <c r="C4" s="45">
        <f>A4/B4</f>
        <v>1.506E-2</v>
      </c>
      <c r="D4" s="41">
        <v>1.5180000000000001E-2</v>
      </c>
      <c r="E4" s="46">
        <f>(D4-C4)/C4</f>
        <v>7.9681274900398613E-3</v>
      </c>
    </row>
    <row r="5" spans="1:5" ht="13.5" thickBot="1" x14ac:dyDescent="0.25"/>
    <row r="6" spans="1:5" ht="18" thickBot="1" x14ac:dyDescent="0.25">
      <c r="A6" s="38" t="s">
        <v>8</v>
      </c>
      <c r="B6" s="39" t="s">
        <v>73</v>
      </c>
      <c r="C6" s="39" t="s">
        <v>71</v>
      </c>
      <c r="D6" s="39" t="s">
        <v>72</v>
      </c>
      <c r="E6" s="39" t="s">
        <v>9</v>
      </c>
    </row>
    <row r="7" spans="1:5" ht="16.5" thickBot="1" x14ac:dyDescent="0.25">
      <c r="A7" s="40">
        <v>5.05</v>
      </c>
      <c r="B7" s="41">
        <v>4700</v>
      </c>
      <c r="C7" s="45">
        <f>A7/B7</f>
        <v>1.074468085106383E-3</v>
      </c>
      <c r="D7" s="41">
        <v>1.07E-3</v>
      </c>
      <c r="E7" s="46">
        <f>(D7-C7)/C7</f>
        <v>-4.1584158415841526E-3</v>
      </c>
    </row>
    <row r="8" spans="1:5" ht="16.5" thickBot="1" x14ac:dyDescent="0.25">
      <c r="A8" s="40">
        <v>10</v>
      </c>
      <c r="B8" s="41">
        <v>4700</v>
      </c>
      <c r="C8" s="45">
        <f>A8/B8</f>
        <v>2.1276595744680851E-3</v>
      </c>
      <c r="D8" s="41">
        <v>2.1299999999999999E-3</v>
      </c>
      <c r="E8" s="46">
        <f>(D8-C8)/C8</f>
        <v>1.0999999999999595E-3</v>
      </c>
    </row>
    <row r="9" spans="1:5" ht="16.5" thickBot="1" x14ac:dyDescent="0.25">
      <c r="A9" s="40">
        <v>15.06</v>
      </c>
      <c r="B9" s="41">
        <v>4700</v>
      </c>
      <c r="C9" s="45">
        <f>A9/B9</f>
        <v>3.2042553191489365E-3</v>
      </c>
      <c r="D9" s="41">
        <v>3.2399999999999998E-3</v>
      </c>
      <c r="E9" s="46">
        <f>(D9-C9)/C9</f>
        <v>1.1155378486055623E-2</v>
      </c>
    </row>
    <row r="10" spans="1:5" ht="13.5" thickBot="1" x14ac:dyDescent="0.25"/>
    <row r="11" spans="1:5" ht="18" thickBot="1" x14ac:dyDescent="0.25">
      <c r="A11" s="38" t="s">
        <v>8</v>
      </c>
      <c r="B11" s="39" t="s">
        <v>74</v>
      </c>
      <c r="C11" s="39" t="s">
        <v>71</v>
      </c>
      <c r="D11" s="39" t="s">
        <v>72</v>
      </c>
      <c r="E11" s="39" t="s">
        <v>9</v>
      </c>
    </row>
    <row r="12" spans="1:5" ht="16.5" thickBot="1" x14ac:dyDescent="0.25">
      <c r="A12" s="40">
        <v>5.03</v>
      </c>
      <c r="B12" s="41">
        <v>3000</v>
      </c>
      <c r="C12" s="45">
        <f>A12/B12</f>
        <v>1.6766666666666668E-3</v>
      </c>
      <c r="D12" s="41">
        <v>1.64E-3</v>
      </c>
      <c r="E12" s="46">
        <f>(D12-C12)/C12</f>
        <v>-2.1868787276342047E-2</v>
      </c>
    </row>
    <row r="13" spans="1:5" ht="16.5" thickBot="1" x14ac:dyDescent="0.25">
      <c r="A13" s="40">
        <v>10.1</v>
      </c>
      <c r="B13" s="41">
        <v>3000</v>
      </c>
      <c r="C13" s="45">
        <f>A13/B13</f>
        <v>3.3666666666666667E-3</v>
      </c>
      <c r="D13" s="41">
        <v>3.31E-3</v>
      </c>
      <c r="E13" s="46">
        <f>(D13-C13)/C13</f>
        <v>-1.6831683168316833E-2</v>
      </c>
    </row>
    <row r="14" spans="1:5" ht="16.5" thickBot="1" x14ac:dyDescent="0.25">
      <c r="A14" s="40">
        <v>14.98</v>
      </c>
      <c r="B14" s="41">
        <v>3000</v>
      </c>
      <c r="C14" s="45">
        <f>A14/B14</f>
        <v>4.9933333333333331E-3</v>
      </c>
      <c r="D14" s="41">
        <v>4.9500000000000004E-3</v>
      </c>
      <c r="E14" s="46">
        <f>(D14-C14)/C14</f>
        <v>-8.6782376502001456E-3</v>
      </c>
    </row>
    <row r="16" spans="1:5" x14ac:dyDescent="0.2">
      <c r="A16" s="203" t="s">
        <v>112</v>
      </c>
      <c r="B16" s="203"/>
      <c r="C16" s="203"/>
      <c r="D16" s="203"/>
    </row>
    <row r="17" spans="1:10" ht="13.5" thickBot="1" x14ac:dyDescent="0.25">
      <c r="B17" s="42" t="s">
        <v>39</v>
      </c>
      <c r="C17" s="42" t="s">
        <v>38</v>
      </c>
      <c r="D17" s="42" t="s">
        <v>98</v>
      </c>
      <c r="E17" s="43"/>
    </row>
    <row r="18" spans="1:10" ht="16.5" thickBot="1" x14ac:dyDescent="0.25">
      <c r="A18" s="44" t="s">
        <v>13</v>
      </c>
      <c r="B18" s="44">
        <v>1000</v>
      </c>
      <c r="C18" s="44">
        <v>1000</v>
      </c>
      <c r="D18" s="47">
        <f>(B18-C18)/C18</f>
        <v>0</v>
      </c>
    </row>
    <row r="19" spans="1:10" ht="16.5" thickBot="1" x14ac:dyDescent="0.25">
      <c r="A19" s="44" t="s">
        <v>14</v>
      </c>
      <c r="B19" s="44">
        <v>3030</v>
      </c>
      <c r="C19" s="44">
        <v>3000</v>
      </c>
      <c r="D19" s="47">
        <f t="shared" ref="D19:D26" si="0">(B19-C19)/C19</f>
        <v>0.01</v>
      </c>
    </row>
    <row r="20" spans="1:10" ht="16.5" thickBot="1" x14ac:dyDescent="0.25">
      <c r="A20" s="44" t="s">
        <v>15</v>
      </c>
      <c r="B20" s="44">
        <v>4680</v>
      </c>
      <c r="C20" s="44">
        <v>4700</v>
      </c>
      <c r="D20" s="47">
        <f t="shared" si="0"/>
        <v>-4.2553191489361703E-3</v>
      </c>
      <c r="J20" s="10">
        <f>0.01^-12</f>
        <v>9.9999999999999985E+23</v>
      </c>
    </row>
    <row r="21" spans="1:10" ht="16.5" thickBot="1" x14ac:dyDescent="0.25">
      <c r="A21" s="44" t="s">
        <v>75</v>
      </c>
      <c r="B21" s="44">
        <v>250</v>
      </c>
      <c r="C21" s="44">
        <v>1000</v>
      </c>
      <c r="D21" s="47">
        <f t="shared" si="0"/>
        <v>-0.75</v>
      </c>
    </row>
    <row r="22" spans="1:10" ht="16.5" thickBot="1" x14ac:dyDescent="0.25">
      <c r="A22" s="44" t="s">
        <v>200</v>
      </c>
      <c r="B22" s="44">
        <v>990</v>
      </c>
      <c r="C22" s="44">
        <v>1000</v>
      </c>
      <c r="D22" s="47">
        <f t="shared" si="0"/>
        <v>-0.01</v>
      </c>
    </row>
    <row r="23" spans="1:10" ht="16.5" thickBot="1" x14ac:dyDescent="0.25">
      <c r="A23" s="44" t="s">
        <v>140</v>
      </c>
      <c r="B23" s="44">
        <v>990</v>
      </c>
      <c r="C23" s="44">
        <v>1000</v>
      </c>
      <c r="D23" s="47">
        <f t="shared" si="0"/>
        <v>-0.01</v>
      </c>
    </row>
    <row r="24" spans="1:10" ht="16.5" thickBot="1" x14ac:dyDescent="0.25">
      <c r="A24" s="44" t="s">
        <v>201</v>
      </c>
      <c r="B24" s="44">
        <v>990</v>
      </c>
      <c r="C24" s="44">
        <v>1000</v>
      </c>
      <c r="D24" s="47">
        <f t="shared" si="0"/>
        <v>-0.01</v>
      </c>
    </row>
    <row r="25" spans="1:10" ht="16.5" thickBot="1" x14ac:dyDescent="0.25">
      <c r="A25" s="44" t="s">
        <v>202</v>
      </c>
      <c r="B25" s="44">
        <v>990</v>
      </c>
      <c r="C25" s="44">
        <v>1000</v>
      </c>
      <c r="D25" s="47">
        <f t="shared" si="0"/>
        <v>-0.01</v>
      </c>
    </row>
    <row r="26" spans="1:10" ht="16.5" thickBot="1" x14ac:dyDescent="0.25">
      <c r="A26" s="44" t="s">
        <v>203</v>
      </c>
      <c r="B26" s="44">
        <v>990</v>
      </c>
      <c r="C26" s="44">
        <v>1000</v>
      </c>
      <c r="D26" s="47">
        <f t="shared" si="0"/>
        <v>-0.01</v>
      </c>
    </row>
    <row r="27" spans="1:10" x14ac:dyDescent="0.2">
      <c r="C27" s="180"/>
    </row>
  </sheetData>
  <mergeCells count="1">
    <mergeCell ref="A16:D16"/>
  </mergeCells>
  <pageMargins left="0.7" right="0.7" top="0.75" bottom="0.75" header="0.3" footer="0.3"/>
  <pageSetup scale="70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B23"/>
  <sheetViews>
    <sheetView zoomScale="115" zoomScaleNormal="115" workbookViewId="0">
      <selection activeCell="N13" sqref="N13"/>
    </sheetView>
  </sheetViews>
  <sheetFormatPr defaultRowHeight="12.75" x14ac:dyDescent="0.2"/>
  <cols>
    <col min="1" max="1" width="15.42578125" customWidth="1"/>
    <col min="2" max="2" width="17.85546875" customWidth="1"/>
  </cols>
  <sheetData>
    <row r="1" spans="1:2" x14ac:dyDescent="0.2">
      <c r="A1" s="230" t="s">
        <v>77</v>
      </c>
      <c r="B1" s="230"/>
    </row>
    <row r="2" spans="1:2" x14ac:dyDescent="0.2">
      <c r="A2" s="4" t="s">
        <v>78</v>
      </c>
      <c r="B2" s="4" t="s">
        <v>111</v>
      </c>
    </row>
    <row r="3" spans="1:2" x14ac:dyDescent="0.2">
      <c r="A3" s="8">
        <v>0.81</v>
      </c>
      <c r="B3" s="9">
        <v>6810</v>
      </c>
    </row>
    <row r="4" spans="1:2" x14ac:dyDescent="0.2">
      <c r="A4" s="8">
        <v>0.7</v>
      </c>
      <c r="B4" s="9">
        <v>1050</v>
      </c>
    </row>
    <row r="5" spans="1:2" x14ac:dyDescent="0.2">
      <c r="A5" s="8">
        <v>0.6</v>
      </c>
      <c r="B5" s="9">
        <v>17.5</v>
      </c>
    </row>
    <row r="6" spans="1:2" x14ac:dyDescent="0.2">
      <c r="A6" s="8">
        <v>0.41</v>
      </c>
      <c r="B6" s="9">
        <v>0.3</v>
      </c>
    </row>
    <row r="7" spans="1:2" x14ac:dyDescent="0.2">
      <c r="A7" s="8">
        <v>0</v>
      </c>
      <c r="B7" s="9">
        <v>0.1</v>
      </c>
    </row>
    <row r="8" spans="1:2" x14ac:dyDescent="0.2">
      <c r="A8" s="8">
        <v>-0.32</v>
      </c>
      <c r="B8" s="9">
        <v>0.1</v>
      </c>
    </row>
    <row r="9" spans="1:2" x14ac:dyDescent="0.2">
      <c r="A9" s="8">
        <v>-0.61</v>
      </c>
      <c r="B9" s="9">
        <v>0.1</v>
      </c>
    </row>
    <row r="10" spans="1:2" x14ac:dyDescent="0.2">
      <c r="A10" s="8">
        <v>-0.81</v>
      </c>
      <c r="B10" s="9">
        <v>0.1</v>
      </c>
    </row>
    <row r="11" spans="1:2" x14ac:dyDescent="0.2">
      <c r="A11" s="8">
        <v>-1.49</v>
      </c>
      <c r="B11" s="9">
        <v>0.1</v>
      </c>
    </row>
    <row r="12" spans="1:2" x14ac:dyDescent="0.2">
      <c r="A12" s="8">
        <v>-2.02</v>
      </c>
      <c r="B12" s="9">
        <v>-2.8</v>
      </c>
    </row>
    <row r="13" spans="1:2" x14ac:dyDescent="0.2">
      <c r="A13" s="8">
        <v>-2.48</v>
      </c>
      <c r="B13" s="9">
        <v>-16.100000000000001</v>
      </c>
    </row>
    <row r="14" spans="1:2" x14ac:dyDescent="0.2">
      <c r="A14" s="8">
        <v>-3</v>
      </c>
      <c r="B14" s="9">
        <v>-74.3</v>
      </c>
    </row>
    <row r="15" spans="1:2" x14ac:dyDescent="0.2">
      <c r="A15" s="8">
        <v>-3.5</v>
      </c>
      <c r="B15" s="9">
        <v>-214.7</v>
      </c>
    </row>
    <row r="16" spans="1:2" x14ac:dyDescent="0.2">
      <c r="A16" s="8">
        <v>-3.93</v>
      </c>
      <c r="B16" s="9">
        <v>-890</v>
      </c>
    </row>
    <row r="17" spans="1:2" x14ac:dyDescent="0.2">
      <c r="A17" s="8">
        <v>-4.5</v>
      </c>
      <c r="B17" s="9">
        <v>-2508</v>
      </c>
    </row>
    <row r="18" spans="1:2" x14ac:dyDescent="0.2">
      <c r="A18" s="8">
        <v>-4.8099999999999996</v>
      </c>
      <c r="B18" s="9">
        <v>-9150</v>
      </c>
    </row>
    <row r="19" spans="1:2" x14ac:dyDescent="0.2">
      <c r="A19" s="8">
        <v>-5.12</v>
      </c>
      <c r="B19" s="9">
        <v>-20150</v>
      </c>
    </row>
    <row r="20" spans="1:2" x14ac:dyDescent="0.2">
      <c r="A20" s="9"/>
      <c r="B20" s="9"/>
    </row>
    <row r="21" spans="1:2" x14ac:dyDescent="0.2">
      <c r="A21" s="9"/>
      <c r="B21" s="9"/>
    </row>
    <row r="22" spans="1:2" x14ac:dyDescent="0.2">
      <c r="A22" s="9"/>
      <c r="B22" s="9"/>
    </row>
    <row r="23" spans="1:2" x14ac:dyDescent="0.2">
      <c r="A23" s="9"/>
      <c r="B23" s="9"/>
    </row>
  </sheetData>
  <sheetProtection sheet="1" objects="1" scenarios="1"/>
  <mergeCells count="1">
    <mergeCell ref="A1:B1"/>
  </mergeCells>
  <pageMargins left="0.7" right="0.7" top="0.75" bottom="0.75" header="0.3" footer="0.3"/>
  <pageSetup orientation="landscape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18"/>
  <sheetViews>
    <sheetView zoomScale="115" zoomScaleNormal="115" workbookViewId="0">
      <selection activeCell="L26" sqref="L26"/>
    </sheetView>
  </sheetViews>
  <sheetFormatPr defaultRowHeight="12.75" x14ac:dyDescent="0.2"/>
  <cols>
    <col min="1" max="1" width="17.85546875" style="10" customWidth="1"/>
    <col min="2" max="2" width="12.28515625" style="10" customWidth="1"/>
    <col min="3" max="3" width="10.28515625" style="10" customWidth="1"/>
    <col min="4" max="4" width="7.28515625" style="10" customWidth="1"/>
    <col min="5" max="5" width="5" style="10" customWidth="1"/>
    <col min="6" max="6" width="14.140625" style="10" customWidth="1"/>
    <col min="7" max="7" width="11.5703125" style="10" bestFit="1" customWidth="1"/>
    <col min="8" max="9" width="11.85546875" style="10" customWidth="1"/>
    <col min="10" max="10" width="10.7109375" style="10" customWidth="1"/>
    <col min="11" max="11" width="9" style="10" customWidth="1"/>
    <col min="12" max="12" width="11.5703125" style="10" bestFit="1" customWidth="1"/>
    <col min="13" max="13" width="10.7109375" style="10" customWidth="1"/>
    <col min="14" max="15" width="9.42578125" style="10" customWidth="1"/>
    <col min="16" max="16" width="2.5703125" style="10" customWidth="1"/>
    <col min="17" max="17" width="15.28515625" style="10" customWidth="1"/>
    <col min="18" max="16384" width="9.140625" style="10"/>
  </cols>
  <sheetData>
    <row r="1" spans="1:18" ht="18" x14ac:dyDescent="0.25">
      <c r="A1" s="231" t="s">
        <v>89</v>
      </c>
      <c r="B1" s="231"/>
      <c r="C1" s="231"/>
      <c r="D1" s="231"/>
      <c r="E1" s="17"/>
      <c r="F1" s="231" t="s">
        <v>90</v>
      </c>
      <c r="G1" s="231"/>
      <c r="H1" s="231"/>
      <c r="I1" s="231"/>
      <c r="J1" s="231"/>
      <c r="K1" s="231"/>
      <c r="L1" s="231"/>
      <c r="M1" s="231"/>
      <c r="N1" s="217"/>
      <c r="O1" s="217"/>
    </row>
    <row r="2" spans="1:18" x14ac:dyDescent="0.2">
      <c r="A2" s="88" t="s">
        <v>86</v>
      </c>
      <c r="B2" s="232">
        <v>1450</v>
      </c>
      <c r="C2" s="232"/>
      <c r="D2" s="59"/>
      <c r="E2" s="17"/>
      <c r="F2" s="88" t="s">
        <v>86</v>
      </c>
      <c r="G2" s="233">
        <f>B2</f>
        <v>1450</v>
      </c>
      <c r="H2" s="233"/>
      <c r="I2" s="233"/>
      <c r="J2" s="233"/>
      <c r="K2" s="174"/>
      <c r="L2" s="232">
        <v>5000</v>
      </c>
      <c r="M2" s="232"/>
      <c r="N2" s="217"/>
      <c r="O2" s="217"/>
      <c r="Q2" s="220" t="s">
        <v>168</v>
      </c>
    </row>
    <row r="3" spans="1:18" x14ac:dyDescent="0.2">
      <c r="A3" s="17"/>
      <c r="B3" s="59" t="s">
        <v>83</v>
      </c>
      <c r="C3" s="59" t="s">
        <v>84</v>
      </c>
      <c r="D3" s="59"/>
      <c r="E3" s="89"/>
      <c r="F3" s="24"/>
      <c r="G3" s="59" t="s">
        <v>85</v>
      </c>
      <c r="H3" s="59" t="s">
        <v>165</v>
      </c>
      <c r="I3" s="59" t="s">
        <v>166</v>
      </c>
      <c r="J3" s="59" t="s">
        <v>167</v>
      </c>
      <c r="K3" s="64"/>
      <c r="L3" s="59" t="s">
        <v>85</v>
      </c>
      <c r="M3" s="59" t="s">
        <v>165</v>
      </c>
      <c r="N3" s="59" t="s">
        <v>166</v>
      </c>
      <c r="O3" s="59" t="s">
        <v>167</v>
      </c>
      <c r="Q3" s="220"/>
      <c r="R3" s="90"/>
    </row>
    <row r="4" spans="1:18" x14ac:dyDescent="0.2">
      <c r="A4" s="88" t="s">
        <v>81</v>
      </c>
      <c r="B4" s="91">
        <v>13.4</v>
      </c>
      <c r="C4" s="91">
        <v>36.4</v>
      </c>
      <c r="D4" s="24"/>
      <c r="E4" s="89"/>
      <c r="F4" s="88" t="s">
        <v>82</v>
      </c>
      <c r="G4" s="92">
        <v>17.399999999999999</v>
      </c>
      <c r="H4" s="93">
        <v>0.19</v>
      </c>
      <c r="I4" s="101">
        <f>G5/(60*G18)</f>
        <v>0.19999999999999998</v>
      </c>
      <c r="J4" s="102">
        <f>(H4-I4)/I4</f>
        <v>-4.9999999999999913E-2</v>
      </c>
      <c r="K4" s="175"/>
      <c r="L4" s="92">
        <v>17.399999999999999</v>
      </c>
      <c r="M4" s="93">
        <v>6.4000000000000001E-2</v>
      </c>
      <c r="N4" s="101">
        <f>L5/(60*G18)</f>
        <v>5.7999999999999996E-2</v>
      </c>
      <c r="O4" s="102">
        <f>(M4-N4)/N4</f>
        <v>0.10344827586206906</v>
      </c>
      <c r="Q4" s="102">
        <f>(G4-B5)/B5</f>
        <v>0.91208791208791196</v>
      </c>
      <c r="R4" s="95"/>
    </row>
    <row r="5" spans="1:18" x14ac:dyDescent="0.2">
      <c r="A5" s="88" t="s">
        <v>82</v>
      </c>
      <c r="B5" s="91">
        <v>9.1</v>
      </c>
      <c r="C5" s="91">
        <v>17.600000000000001</v>
      </c>
      <c r="D5" s="24"/>
      <c r="E5" s="89"/>
      <c r="F5" s="88" t="s">
        <v>87</v>
      </c>
      <c r="G5" s="101">
        <f>G4/G2</f>
        <v>1.1999999999999999E-2</v>
      </c>
      <c r="H5" s="17"/>
      <c r="I5" s="17"/>
      <c r="J5" s="17"/>
      <c r="K5" s="88" t="s">
        <v>87</v>
      </c>
      <c r="L5" s="101">
        <f>L4/L2</f>
        <v>3.4799999999999996E-3</v>
      </c>
      <c r="M5" s="17"/>
      <c r="N5" s="17"/>
      <c r="O5" s="17"/>
    </row>
    <row r="6" spans="1:18" x14ac:dyDescent="0.2">
      <c r="A6" s="88" t="s">
        <v>87</v>
      </c>
      <c r="B6" s="101">
        <f>B5/B2</f>
        <v>6.2758620689655166E-3</v>
      </c>
      <c r="C6" s="89"/>
      <c r="D6" s="89"/>
      <c r="E6" s="89"/>
      <c r="F6" s="88" t="s">
        <v>88</v>
      </c>
      <c r="G6" s="101">
        <f>G5*G4</f>
        <v>0.20879999999999996</v>
      </c>
      <c r="H6" s="17"/>
      <c r="I6" s="17"/>
      <c r="J6" s="17"/>
      <c r="K6" s="88" t="s">
        <v>88</v>
      </c>
      <c r="L6" s="101">
        <f>L5*L4</f>
        <v>6.0551999999999988E-2</v>
      </c>
      <c r="M6" s="17"/>
      <c r="N6" s="17"/>
      <c r="O6" s="17"/>
    </row>
    <row r="7" spans="1:18" x14ac:dyDescent="0.2">
      <c r="A7" s="88" t="s">
        <v>88</v>
      </c>
      <c r="B7" s="101">
        <f>B6*B5</f>
        <v>5.7110344827586201E-2</v>
      </c>
      <c r="C7" s="17"/>
      <c r="D7" s="17"/>
      <c r="E7" s="17"/>
    </row>
    <row r="8" spans="1:18" x14ac:dyDescent="0.2">
      <c r="A8" s="17"/>
      <c r="B8" s="17"/>
      <c r="C8" s="17"/>
      <c r="D8" s="17"/>
      <c r="E8" s="17"/>
    </row>
    <row r="9" spans="1:18" ht="18" x14ac:dyDescent="0.25">
      <c r="A9" s="231" t="s">
        <v>91</v>
      </c>
      <c r="B9" s="231"/>
      <c r="C9" s="231"/>
      <c r="D9" s="231"/>
      <c r="E9" s="17"/>
      <c r="F9" s="231" t="s">
        <v>92</v>
      </c>
      <c r="G9" s="231"/>
      <c r="H9" s="231"/>
      <c r="I9" s="231"/>
      <c r="J9" s="231"/>
      <c r="K9" s="231"/>
      <c r="L9" s="231"/>
      <c r="M9" s="231"/>
      <c r="N9" s="217"/>
      <c r="O9" s="217"/>
    </row>
    <row r="10" spans="1:18" ht="12.75" customHeight="1" x14ac:dyDescent="0.2">
      <c r="A10" s="88" t="s">
        <v>86</v>
      </c>
      <c r="B10" s="233">
        <f>B2</f>
        <v>1450</v>
      </c>
      <c r="C10" s="233"/>
      <c r="D10" s="59"/>
      <c r="E10" s="89"/>
      <c r="F10" s="88" t="s">
        <v>86</v>
      </c>
      <c r="G10" s="233">
        <f>B2</f>
        <v>1450</v>
      </c>
      <c r="H10" s="234"/>
      <c r="I10" s="217"/>
      <c r="J10" s="217"/>
      <c r="K10" s="59"/>
      <c r="L10" s="233">
        <f>L2</f>
        <v>5000</v>
      </c>
      <c r="M10" s="234"/>
      <c r="N10" s="217"/>
      <c r="O10" s="217"/>
      <c r="Q10" s="220" t="s">
        <v>168</v>
      </c>
    </row>
    <row r="11" spans="1:18" x14ac:dyDescent="0.2">
      <c r="A11" s="96"/>
      <c r="B11" s="59" t="s">
        <v>83</v>
      </c>
      <c r="C11" s="59" t="s">
        <v>84</v>
      </c>
      <c r="D11" s="59"/>
      <c r="E11" s="89"/>
      <c r="F11" s="88"/>
      <c r="G11" s="59" t="s">
        <v>85</v>
      </c>
      <c r="H11" s="59" t="s">
        <v>165</v>
      </c>
      <c r="I11" s="59" t="s">
        <v>166</v>
      </c>
      <c r="J11" s="59" t="s">
        <v>167</v>
      </c>
      <c r="K11" s="64"/>
      <c r="L11" s="59" t="s">
        <v>85</v>
      </c>
      <c r="M11" s="59" t="s">
        <v>165</v>
      </c>
      <c r="N11" s="59" t="s">
        <v>166</v>
      </c>
      <c r="O11" s="59" t="s">
        <v>167</v>
      </c>
      <c r="Q11" s="220"/>
    </row>
    <row r="12" spans="1:18" x14ac:dyDescent="0.2">
      <c r="A12" s="88" t="s">
        <v>82</v>
      </c>
      <c r="B12" s="91">
        <v>12.8</v>
      </c>
      <c r="C12" s="91">
        <v>17.399999999999999</v>
      </c>
      <c r="D12" s="24"/>
      <c r="E12" s="89"/>
      <c r="F12" s="88" t="s">
        <v>82</v>
      </c>
      <c r="G12" s="97">
        <v>17.399999999999999</v>
      </c>
      <c r="H12" s="98">
        <v>9.4E-2</v>
      </c>
      <c r="I12" s="101">
        <f>G13/(120*G18)</f>
        <v>9.9999999999999992E-2</v>
      </c>
      <c r="J12" s="102">
        <f>(H12-I12)/I12</f>
        <v>-5.9999999999999921E-2</v>
      </c>
      <c r="K12" s="94"/>
      <c r="L12" s="97">
        <v>17.600000000000001</v>
      </c>
      <c r="M12" s="98">
        <v>0.03</v>
      </c>
      <c r="N12" s="101">
        <f>L13/(120*G18)</f>
        <v>2.9333333333333336E-2</v>
      </c>
      <c r="O12" s="102">
        <f>(M12-N12)/N12</f>
        <v>2.2727272727272589E-2</v>
      </c>
      <c r="Q12" s="102">
        <f>(G12-B12)/B12</f>
        <v>0.35937499999999983</v>
      </c>
    </row>
    <row r="13" spans="1:18" x14ac:dyDescent="0.2">
      <c r="A13" s="88" t="s">
        <v>87</v>
      </c>
      <c r="B13" s="101">
        <f>B12/B10</f>
        <v>8.8275862068965521E-3</v>
      </c>
      <c r="C13" s="17"/>
      <c r="D13" s="24"/>
      <c r="E13" s="17"/>
      <c r="F13" s="88" t="s">
        <v>87</v>
      </c>
      <c r="G13" s="101">
        <f>G12/G10</f>
        <v>1.1999999999999999E-2</v>
      </c>
      <c r="H13" s="17"/>
      <c r="I13" s="17"/>
      <c r="J13" s="17"/>
      <c r="K13" s="88" t="s">
        <v>87</v>
      </c>
      <c r="L13" s="101">
        <f>L12/L10</f>
        <v>3.5200000000000001E-3</v>
      </c>
      <c r="M13" s="99"/>
      <c r="N13" s="99"/>
      <c r="O13" s="99"/>
    </row>
    <row r="14" spans="1:18" x14ac:dyDescent="0.2">
      <c r="A14" s="88" t="s">
        <v>88</v>
      </c>
      <c r="B14" s="101">
        <f>B13*B12</f>
        <v>0.11299310344827587</v>
      </c>
      <c r="C14" s="17"/>
      <c r="D14" s="17"/>
      <c r="E14" s="17"/>
      <c r="F14" s="88" t="s">
        <v>88</v>
      </c>
      <c r="G14" s="101">
        <f>G13*G12</f>
        <v>0.20879999999999996</v>
      </c>
      <c r="H14" s="17"/>
      <c r="I14" s="17"/>
      <c r="J14" s="17"/>
      <c r="K14" s="88" t="s">
        <v>88</v>
      </c>
      <c r="L14" s="101">
        <f>L13*L12</f>
        <v>6.1952000000000007E-2</v>
      </c>
      <c r="M14" s="17"/>
      <c r="N14" s="17"/>
      <c r="O14" s="17"/>
    </row>
    <row r="15" spans="1:18" x14ac:dyDescent="0.2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8" ht="15.75" x14ac:dyDescent="0.3">
      <c r="A16" s="88" t="s">
        <v>109</v>
      </c>
      <c r="B16" s="102">
        <f>(B12-B5)/B5</f>
        <v>0.4065934065934067</v>
      </c>
      <c r="D16" s="17"/>
      <c r="E16" s="17"/>
      <c r="G16" s="88" t="s">
        <v>110</v>
      </c>
      <c r="H16" s="102">
        <f>(H12-H4)/H4</f>
        <v>-0.50526315789473686</v>
      </c>
      <c r="I16" s="175"/>
      <c r="J16" s="17"/>
      <c r="K16" s="17"/>
      <c r="L16" s="88" t="s">
        <v>110</v>
      </c>
      <c r="M16" s="102">
        <f>(M12-M4)/M4</f>
        <v>-0.53125</v>
      </c>
      <c r="N16" s="17"/>
      <c r="O16" s="17"/>
    </row>
    <row r="17" spans="1:7" x14ac:dyDescent="0.2">
      <c r="A17" s="17"/>
      <c r="B17" s="17"/>
      <c r="C17" s="17"/>
      <c r="D17" s="17"/>
      <c r="E17" s="17"/>
    </row>
    <row r="18" spans="1:7" x14ac:dyDescent="0.2">
      <c r="F18" s="96" t="s">
        <v>113</v>
      </c>
      <c r="G18" s="100">
        <v>1E-3</v>
      </c>
    </row>
  </sheetData>
  <sheetProtection sheet="1" objects="1" scenarios="1"/>
  <mergeCells count="12">
    <mergeCell ref="F1:O1"/>
    <mergeCell ref="Q2:Q3"/>
    <mergeCell ref="Q10:Q11"/>
    <mergeCell ref="B2:C2"/>
    <mergeCell ref="A1:D1"/>
    <mergeCell ref="B10:C10"/>
    <mergeCell ref="A9:D9"/>
    <mergeCell ref="G2:J2"/>
    <mergeCell ref="L2:O2"/>
    <mergeCell ref="G10:J10"/>
    <mergeCell ref="L10:O10"/>
    <mergeCell ref="F9:O9"/>
  </mergeCells>
  <pageMargins left="0.7" right="0.7" top="0.75" bottom="0.75" header="0.3" footer="0.3"/>
  <pageSetup scale="6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L39"/>
  <sheetViews>
    <sheetView zoomScale="85" zoomScaleNormal="85" workbookViewId="0">
      <selection activeCell="J5" sqref="J5"/>
    </sheetView>
  </sheetViews>
  <sheetFormatPr defaultRowHeight="12.75" x14ac:dyDescent="0.2"/>
  <cols>
    <col min="1" max="1" width="11.28515625" style="10" customWidth="1"/>
    <col min="2" max="2" width="12.5703125" style="10" customWidth="1"/>
    <col min="3" max="3" width="14" style="10" customWidth="1"/>
    <col min="4" max="4" width="13.140625" style="10" bestFit="1" customWidth="1"/>
    <col min="5" max="5" width="11.28515625" style="10" customWidth="1"/>
    <col min="6" max="7" width="6.85546875" style="10" customWidth="1"/>
    <col min="8" max="8" width="10.5703125" style="10" customWidth="1"/>
    <col min="9" max="9" width="10.85546875" style="10" customWidth="1"/>
    <col min="10" max="11" width="8.5703125" style="10" customWidth="1"/>
    <col min="12" max="12" width="13.5703125" style="10" customWidth="1"/>
    <col min="13" max="16384" width="9.140625" style="10"/>
  </cols>
  <sheetData>
    <row r="1" spans="1:12" ht="15.75" x14ac:dyDescent="0.25">
      <c r="A1" s="239" t="s">
        <v>59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40"/>
    </row>
    <row r="2" spans="1:12" x14ac:dyDescent="0.2">
      <c r="A2" s="103"/>
      <c r="B2" s="104"/>
      <c r="C2" s="104"/>
      <c r="D2" s="104"/>
      <c r="E2" s="104"/>
      <c r="F2" s="235" t="s">
        <v>25</v>
      </c>
      <c r="G2" s="236"/>
      <c r="H2" s="237" t="s">
        <v>26</v>
      </c>
      <c r="I2" s="238"/>
      <c r="J2" s="104"/>
      <c r="K2" s="105"/>
      <c r="L2" s="105"/>
    </row>
    <row r="3" spans="1:12" ht="28.5" customHeight="1" x14ac:dyDescent="0.25">
      <c r="A3" s="106" t="s">
        <v>27</v>
      </c>
      <c r="B3" s="107" t="s">
        <v>28</v>
      </c>
      <c r="C3" s="107" t="s">
        <v>29</v>
      </c>
      <c r="D3" s="107" t="s">
        <v>30</v>
      </c>
      <c r="E3" s="107" t="s">
        <v>31</v>
      </c>
      <c r="F3" s="106" t="s">
        <v>32</v>
      </c>
      <c r="G3" s="107" t="s">
        <v>33</v>
      </c>
      <c r="H3" s="106" t="s">
        <v>60</v>
      </c>
      <c r="I3" s="108" t="s">
        <v>61</v>
      </c>
      <c r="J3" s="107" t="s">
        <v>34</v>
      </c>
      <c r="K3" s="108" t="s">
        <v>35</v>
      </c>
      <c r="L3" s="108" t="s">
        <v>62</v>
      </c>
    </row>
    <row r="4" spans="1:12" ht="24" customHeight="1" x14ac:dyDescent="0.2">
      <c r="A4" s="109"/>
      <c r="B4" s="110"/>
      <c r="C4" s="109"/>
      <c r="D4" s="109"/>
      <c r="E4" s="109"/>
      <c r="F4" s="111"/>
      <c r="G4" s="111"/>
      <c r="H4" s="111">
        <v>10</v>
      </c>
      <c r="I4" s="111">
        <v>1.67</v>
      </c>
      <c r="J4" s="114">
        <f>(I4/H4)*1000</f>
        <v>166.99999999999997</v>
      </c>
      <c r="K4" s="111">
        <v>178</v>
      </c>
      <c r="L4" s="115">
        <f>($K$4-J4)/$K$4</f>
        <v>6.1797752808988922E-2</v>
      </c>
    </row>
    <row r="5" spans="1:12" ht="24" customHeight="1" x14ac:dyDescent="0.2">
      <c r="A5" s="109"/>
      <c r="B5" s="112"/>
      <c r="C5" s="109"/>
      <c r="D5" s="109"/>
      <c r="E5" s="109"/>
      <c r="F5" s="109"/>
      <c r="G5" s="109"/>
      <c r="H5" s="111">
        <v>20</v>
      </c>
      <c r="I5" s="111">
        <v>3.37</v>
      </c>
      <c r="J5" s="114">
        <f>(I5/H5)*1000</f>
        <v>168.5</v>
      </c>
      <c r="K5" s="113"/>
      <c r="L5" s="115">
        <f>($K$4-J5)/$K$4</f>
        <v>5.3370786516853931E-2</v>
      </c>
    </row>
    <row r="6" spans="1:12" ht="24" customHeight="1" x14ac:dyDescent="0.2">
      <c r="A6" s="109"/>
      <c r="B6" s="112"/>
      <c r="C6" s="109"/>
      <c r="D6" s="109"/>
      <c r="E6" s="109"/>
      <c r="F6" s="109"/>
      <c r="G6" s="109"/>
      <c r="H6" s="111">
        <v>30</v>
      </c>
      <c r="I6" s="111">
        <v>8.1999999999999993</v>
      </c>
      <c r="J6" s="114">
        <f>(I6/H6)*1000</f>
        <v>273.33333333333331</v>
      </c>
      <c r="K6" s="113"/>
      <c r="L6" s="115">
        <f>($K$4-J6)/$K$4</f>
        <v>-0.53558052434456915</v>
      </c>
    </row>
    <row r="7" spans="1:12" ht="24" customHeight="1" x14ac:dyDescent="0.2">
      <c r="A7" s="109"/>
      <c r="B7" s="112"/>
      <c r="C7" s="109"/>
      <c r="D7" s="109"/>
      <c r="E7" s="109"/>
      <c r="F7" s="109"/>
      <c r="G7" s="109"/>
      <c r="H7" s="111">
        <v>40</v>
      </c>
      <c r="I7" s="111">
        <v>11</v>
      </c>
      <c r="J7" s="114">
        <f>(I7/H7)*1000</f>
        <v>275</v>
      </c>
      <c r="K7" s="113"/>
      <c r="L7" s="115">
        <f>($K$4-J7)/$K$4</f>
        <v>-0.5449438202247191</v>
      </c>
    </row>
    <row r="8" spans="1:12" ht="24" customHeight="1" x14ac:dyDescent="0.2">
      <c r="H8" s="111">
        <v>50</v>
      </c>
      <c r="I8" s="111">
        <v>13.8</v>
      </c>
      <c r="J8" s="114">
        <f>(I8/H8)*1000</f>
        <v>276</v>
      </c>
      <c r="K8" s="113"/>
      <c r="L8" s="115">
        <f>($K$4-J8)/$K$4</f>
        <v>-0.550561797752809</v>
      </c>
    </row>
    <row r="9" spans="1:12" ht="24" customHeight="1" x14ac:dyDescent="0.2"/>
    <row r="10" spans="1:12" ht="24" customHeight="1" x14ac:dyDescent="0.2"/>
    <row r="11" spans="1:12" ht="24" customHeight="1" x14ac:dyDescent="0.2"/>
    <row r="12" spans="1:12" ht="24" customHeight="1" x14ac:dyDescent="0.2"/>
    <row r="13" spans="1:12" ht="24" customHeight="1" x14ac:dyDescent="0.25">
      <c r="A13" s="239" t="s">
        <v>63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40"/>
    </row>
    <row r="14" spans="1:12" ht="24" customHeight="1" x14ac:dyDescent="0.2">
      <c r="A14" s="103"/>
      <c r="B14" s="104"/>
      <c r="C14" s="104"/>
      <c r="D14" s="104"/>
      <c r="E14" s="104"/>
      <c r="F14" s="235" t="s">
        <v>25</v>
      </c>
      <c r="G14" s="236"/>
      <c r="H14" s="237" t="s">
        <v>26</v>
      </c>
      <c r="I14" s="238"/>
      <c r="J14" s="104"/>
      <c r="K14" s="105"/>
      <c r="L14" s="105"/>
    </row>
    <row r="15" spans="1:12" ht="33" customHeight="1" x14ac:dyDescent="0.25">
      <c r="A15" s="106" t="s">
        <v>27</v>
      </c>
      <c r="B15" s="107" t="s">
        <v>28</v>
      </c>
      <c r="C15" s="107" t="s">
        <v>29</v>
      </c>
      <c r="D15" s="107" t="s">
        <v>30</v>
      </c>
      <c r="E15" s="107" t="s">
        <v>31</v>
      </c>
      <c r="F15" s="106" t="s">
        <v>32</v>
      </c>
      <c r="G15" s="107" t="s">
        <v>33</v>
      </c>
      <c r="H15" s="106" t="s">
        <v>60</v>
      </c>
      <c r="I15" s="108" t="s">
        <v>61</v>
      </c>
      <c r="J15" s="107" t="s">
        <v>34</v>
      </c>
      <c r="K15" s="108" t="s">
        <v>35</v>
      </c>
      <c r="L15" s="108" t="s">
        <v>62</v>
      </c>
    </row>
    <row r="16" spans="1:12" ht="24" customHeight="1" x14ac:dyDescent="0.2">
      <c r="A16" s="109"/>
      <c r="B16" s="109"/>
      <c r="C16" s="109"/>
      <c r="D16" s="109"/>
      <c r="E16" s="109"/>
      <c r="F16" s="111"/>
      <c r="G16" s="111"/>
      <c r="H16" s="111">
        <v>10</v>
      </c>
      <c r="I16" s="111">
        <v>1.6</v>
      </c>
      <c r="J16" s="114">
        <f>(I16/H16)*1000</f>
        <v>160</v>
      </c>
      <c r="K16" s="111">
        <v>268</v>
      </c>
      <c r="L16" s="115">
        <f>($K$16-J16)/$K$16</f>
        <v>0.40298507462686567</v>
      </c>
    </row>
    <row r="17" spans="1:12" ht="24" customHeight="1" x14ac:dyDescent="0.2">
      <c r="A17" s="109"/>
      <c r="B17" s="109"/>
      <c r="C17" s="109"/>
      <c r="D17" s="109"/>
      <c r="E17" s="109"/>
      <c r="F17" s="109"/>
      <c r="G17" s="109"/>
      <c r="H17" s="111">
        <v>20</v>
      </c>
      <c r="I17" s="111">
        <v>2.7</v>
      </c>
      <c r="J17" s="114">
        <f>(I17/H17)*1000</f>
        <v>135</v>
      </c>
      <c r="K17" s="113"/>
      <c r="L17" s="115">
        <f>($K$16-J17)/$K$16</f>
        <v>0.4962686567164179</v>
      </c>
    </row>
    <row r="18" spans="1:12" ht="24" customHeight="1" x14ac:dyDescent="0.2">
      <c r="A18" s="109"/>
      <c r="B18" s="109"/>
      <c r="C18" s="109"/>
      <c r="D18" s="109"/>
      <c r="E18" s="109"/>
      <c r="F18" s="109"/>
      <c r="G18" s="109"/>
      <c r="H18" s="111">
        <v>30</v>
      </c>
      <c r="I18" s="111">
        <v>3.9</v>
      </c>
      <c r="J18" s="114">
        <f>(I18/H18)*1000</f>
        <v>130</v>
      </c>
      <c r="K18" s="113"/>
      <c r="L18" s="115">
        <f>($K$16-J18)/$K$16</f>
        <v>0.5149253731343284</v>
      </c>
    </row>
    <row r="19" spans="1:12" ht="24" customHeight="1" x14ac:dyDescent="0.2">
      <c r="A19" s="109"/>
      <c r="B19" s="109"/>
      <c r="C19" s="109"/>
      <c r="D19" s="109"/>
      <c r="E19" s="109"/>
      <c r="F19" s="109"/>
      <c r="G19" s="109"/>
      <c r="H19" s="111">
        <v>40</v>
      </c>
      <c r="I19" s="111">
        <v>4.7</v>
      </c>
      <c r="J19" s="114">
        <f>(I19/H19)*1000</f>
        <v>117.50000000000001</v>
      </c>
      <c r="K19" s="113"/>
      <c r="L19" s="115">
        <f>($K$16-J19)/$K$16</f>
        <v>0.56156716417910446</v>
      </c>
    </row>
    <row r="20" spans="1:12" ht="24" customHeight="1" x14ac:dyDescent="0.2">
      <c r="A20" s="109"/>
      <c r="B20" s="109"/>
      <c r="C20" s="109"/>
      <c r="D20" s="109"/>
      <c r="E20" s="109"/>
      <c r="F20" s="109"/>
      <c r="G20" s="109"/>
      <c r="H20" s="111">
        <v>50</v>
      </c>
      <c r="I20" s="111">
        <v>5.9</v>
      </c>
      <c r="J20" s="114">
        <f>(I20/H20)*1000</f>
        <v>118.00000000000001</v>
      </c>
      <c r="K20" s="113"/>
      <c r="L20" s="115">
        <f>($K$16-J20)/$K$16</f>
        <v>0.55970149253731338</v>
      </c>
    </row>
    <row r="21" spans="1:12" ht="24" customHeight="1" x14ac:dyDescent="0.2"/>
    <row r="22" spans="1:12" ht="24" customHeight="1" x14ac:dyDescent="0.2"/>
    <row r="23" spans="1:12" ht="24" customHeight="1" x14ac:dyDescent="0.2"/>
    <row r="24" spans="1:12" ht="24" customHeight="1" x14ac:dyDescent="0.2"/>
    <row r="25" spans="1:12" ht="24" customHeight="1" x14ac:dyDescent="0.25">
      <c r="A25" s="239" t="s">
        <v>64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40"/>
    </row>
    <row r="26" spans="1:12" ht="24" customHeight="1" x14ac:dyDescent="0.2">
      <c r="A26" s="103"/>
      <c r="B26" s="104"/>
      <c r="C26" s="104"/>
      <c r="D26" s="104"/>
      <c r="E26" s="104"/>
      <c r="F26" s="235" t="s">
        <v>25</v>
      </c>
      <c r="G26" s="236"/>
      <c r="H26" s="237" t="s">
        <v>26</v>
      </c>
      <c r="I26" s="238"/>
      <c r="J26" s="104"/>
      <c r="K26" s="105"/>
      <c r="L26" s="105"/>
    </row>
    <row r="27" spans="1:12" ht="29.25" customHeight="1" x14ac:dyDescent="0.25">
      <c r="A27" s="106" t="s">
        <v>27</v>
      </c>
      <c r="B27" s="107" t="s">
        <v>28</v>
      </c>
      <c r="C27" s="107" t="s">
        <v>29</v>
      </c>
      <c r="D27" s="107" t="s">
        <v>30</v>
      </c>
      <c r="E27" s="107" t="s">
        <v>31</v>
      </c>
      <c r="F27" s="106" t="s">
        <v>32</v>
      </c>
      <c r="G27" s="107" t="s">
        <v>33</v>
      </c>
      <c r="H27" s="106" t="s">
        <v>60</v>
      </c>
      <c r="I27" s="108" t="s">
        <v>61</v>
      </c>
      <c r="J27" s="107" t="s">
        <v>34</v>
      </c>
      <c r="K27" s="108" t="s">
        <v>35</v>
      </c>
      <c r="L27" s="108" t="s">
        <v>62</v>
      </c>
    </row>
    <row r="28" spans="1:12" ht="24" customHeight="1" x14ac:dyDescent="0.2">
      <c r="A28" s="109"/>
      <c r="B28" s="110"/>
      <c r="C28" s="109"/>
      <c r="D28" s="109"/>
      <c r="E28" s="109"/>
      <c r="F28" s="111"/>
      <c r="G28" s="111"/>
      <c r="H28" s="111">
        <v>10</v>
      </c>
      <c r="I28" s="111">
        <v>2.2000000000000002</v>
      </c>
      <c r="J28" s="114">
        <f>(I28/H28)*1000</f>
        <v>220.00000000000003</v>
      </c>
      <c r="K28" s="111">
        <v>212</v>
      </c>
      <c r="L28" s="115">
        <f>($K$28-J28)/$K$28</f>
        <v>-3.7735849056603911E-2</v>
      </c>
    </row>
    <row r="29" spans="1:12" ht="24" customHeight="1" x14ac:dyDescent="0.2">
      <c r="A29" s="109"/>
      <c r="B29" s="112"/>
      <c r="C29" s="109"/>
      <c r="D29" s="109"/>
      <c r="E29" s="109"/>
      <c r="F29" s="109"/>
      <c r="G29" s="109"/>
      <c r="H29" s="111">
        <v>20</v>
      </c>
      <c r="I29" s="111">
        <v>2.8</v>
      </c>
      <c r="J29" s="114">
        <f>(I29/H29)*1000</f>
        <v>139.99999999999997</v>
      </c>
      <c r="K29" s="113"/>
      <c r="L29" s="115">
        <f>($K$28-J29)/$K$28</f>
        <v>0.33962264150943411</v>
      </c>
    </row>
    <row r="30" spans="1:12" ht="24" customHeight="1" x14ac:dyDescent="0.2">
      <c r="A30" s="109"/>
      <c r="B30" s="112"/>
      <c r="C30" s="109"/>
      <c r="D30" s="109"/>
      <c r="E30" s="109"/>
      <c r="F30" s="109"/>
      <c r="G30" s="109"/>
      <c r="H30" s="111">
        <v>30</v>
      </c>
      <c r="I30" s="111">
        <v>4.0999999999999996</v>
      </c>
      <c r="J30" s="114">
        <f>(I30/H30)*1000</f>
        <v>136.66666666666666</v>
      </c>
      <c r="K30" s="113"/>
      <c r="L30" s="115">
        <f>($K$28-J30)/$K$28</f>
        <v>0.35534591194968557</v>
      </c>
    </row>
    <row r="31" spans="1:12" ht="24" customHeight="1" x14ac:dyDescent="0.2">
      <c r="A31" s="109"/>
      <c r="B31" s="112"/>
      <c r="C31" s="109"/>
      <c r="D31" s="109"/>
      <c r="E31" s="109"/>
      <c r="F31" s="109"/>
      <c r="G31" s="109"/>
      <c r="H31" s="111">
        <v>40</v>
      </c>
      <c r="I31" s="111">
        <v>5.5</v>
      </c>
      <c r="J31" s="114">
        <f>(I31/H31)*1000</f>
        <v>137.5</v>
      </c>
      <c r="K31" s="113"/>
      <c r="L31" s="115">
        <f>($K$28-J31)/$K$28</f>
        <v>0.35141509433962265</v>
      </c>
    </row>
    <row r="32" spans="1:12" ht="24" customHeight="1" x14ac:dyDescent="0.2">
      <c r="H32" s="111">
        <v>50</v>
      </c>
      <c r="I32" s="111">
        <v>7</v>
      </c>
      <c r="J32" s="114">
        <f>(I32/H32)*1000</f>
        <v>140</v>
      </c>
      <c r="K32" s="113"/>
      <c r="L32" s="115">
        <f>($K$28-J32)/$K$28</f>
        <v>0.33962264150943394</v>
      </c>
    </row>
    <row r="33" ht="24" customHeight="1" x14ac:dyDescent="0.2"/>
    <row r="34" ht="24" customHeight="1" x14ac:dyDescent="0.2"/>
    <row r="35" ht="24" customHeight="1" x14ac:dyDescent="0.2"/>
    <row r="36" ht="24" customHeight="1" x14ac:dyDescent="0.2"/>
    <row r="37" ht="19.5" customHeight="1" x14ac:dyDescent="0.2"/>
    <row r="38" ht="19.5" customHeight="1" x14ac:dyDescent="0.2"/>
    <row r="39" ht="19.5" customHeight="1" x14ac:dyDescent="0.2"/>
  </sheetData>
  <sheetProtection sheet="1" objects="1" scenarios="1"/>
  <mergeCells count="9">
    <mergeCell ref="F26:G26"/>
    <mergeCell ref="H26:I26"/>
    <mergeCell ref="F2:G2"/>
    <mergeCell ref="H2:I2"/>
    <mergeCell ref="A1:L1"/>
    <mergeCell ref="A13:L13"/>
    <mergeCell ref="F14:G14"/>
    <mergeCell ref="H14:I14"/>
    <mergeCell ref="A25:L25"/>
  </mergeCells>
  <pageMargins left="0.7" right="0.7" top="0.75" bottom="0.75" header="0.3" footer="0.3"/>
  <pageSetup scale="58" orientation="landscape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53277" r:id="rId4">
          <objectPr defaultSize="0" autoPict="0" r:id="rId5">
            <anchor moveWithCells="1">
              <from>
                <xdr:col>2</xdr:col>
                <xdr:colOff>504825</xdr:colOff>
                <xdr:row>4</xdr:row>
                <xdr:rowOff>47625</xdr:rowOff>
              </from>
              <to>
                <xdr:col>4</xdr:col>
                <xdr:colOff>485775</xdr:colOff>
                <xdr:row>7</xdr:row>
                <xdr:rowOff>190500</xdr:rowOff>
              </to>
            </anchor>
          </objectPr>
        </oleObject>
      </mc:Choice>
      <mc:Fallback>
        <oleObject progId="Visio.Drawing.11" shapeId="53277" r:id="rId4"/>
      </mc:Fallback>
    </mc:AlternateContent>
    <mc:AlternateContent xmlns:mc="http://schemas.openxmlformats.org/markup-compatibility/2006">
      <mc:Choice Requires="x14">
        <oleObject progId="Visio.Drawing.11" shapeId="53284" r:id="rId6">
          <objectPr defaultSize="0" autoPict="0" r:id="rId5">
            <anchor moveWithCells="1">
              <from>
                <xdr:col>2</xdr:col>
                <xdr:colOff>504825</xdr:colOff>
                <xdr:row>17</xdr:row>
                <xdr:rowOff>47625</xdr:rowOff>
              </from>
              <to>
                <xdr:col>4</xdr:col>
                <xdr:colOff>476250</xdr:colOff>
                <xdr:row>20</xdr:row>
                <xdr:rowOff>190500</xdr:rowOff>
              </to>
            </anchor>
          </objectPr>
        </oleObject>
      </mc:Choice>
      <mc:Fallback>
        <oleObject progId="Visio.Drawing.11" shapeId="53284" r:id="rId6"/>
      </mc:Fallback>
    </mc:AlternateContent>
    <mc:AlternateContent xmlns:mc="http://schemas.openxmlformats.org/markup-compatibility/2006">
      <mc:Choice Requires="x14">
        <oleObject progId="Visio.Drawing.11" shapeId="53285" r:id="rId7">
          <objectPr defaultSize="0" autoPict="0" r:id="rId5">
            <anchor moveWithCells="1">
              <from>
                <xdr:col>2</xdr:col>
                <xdr:colOff>504825</xdr:colOff>
                <xdr:row>28</xdr:row>
                <xdr:rowOff>47625</xdr:rowOff>
              </from>
              <to>
                <xdr:col>4</xdr:col>
                <xdr:colOff>476250</xdr:colOff>
                <xdr:row>31</xdr:row>
                <xdr:rowOff>190500</xdr:rowOff>
              </to>
            </anchor>
          </objectPr>
        </oleObject>
      </mc:Choice>
      <mc:Fallback>
        <oleObject progId="Visio.Drawing.11" shapeId="53285" r:id="rId7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D19"/>
  <sheetViews>
    <sheetView zoomScale="115" zoomScaleNormal="115" workbookViewId="0">
      <selection activeCell="B22" sqref="B22"/>
    </sheetView>
  </sheetViews>
  <sheetFormatPr defaultRowHeight="12.75" x14ac:dyDescent="0.2"/>
  <cols>
    <col min="1" max="1" width="11.85546875" style="10" customWidth="1"/>
    <col min="2" max="2" width="12.7109375" style="10" customWidth="1"/>
    <col min="3" max="3" width="13.140625" style="10" customWidth="1"/>
    <col min="4" max="4" width="15.85546875" style="10" customWidth="1"/>
    <col min="5" max="16384" width="9.140625" style="10"/>
  </cols>
  <sheetData>
    <row r="1" spans="1:4" s="51" customFormat="1" ht="27" x14ac:dyDescent="0.25">
      <c r="A1" s="185" t="s">
        <v>179</v>
      </c>
      <c r="B1" s="48" t="s">
        <v>119</v>
      </c>
      <c r="C1" s="48" t="s">
        <v>120</v>
      </c>
      <c r="D1" s="48" t="s">
        <v>121</v>
      </c>
    </row>
    <row r="2" spans="1:4" s="51" customFormat="1" x14ac:dyDescent="0.2">
      <c r="A2" s="116"/>
      <c r="B2" s="116">
        <v>2.75</v>
      </c>
      <c r="C2" s="56">
        <v>2.6800000000000001E-4</v>
      </c>
      <c r="D2" s="122">
        <f>(C3-C2)/(B3-B2)</f>
        <v>4.6600000000000174E-3</v>
      </c>
    </row>
    <row r="3" spans="1:4" x14ac:dyDescent="0.2">
      <c r="A3" s="116"/>
      <c r="B3" s="117">
        <v>2.8</v>
      </c>
      <c r="C3" s="118">
        <v>5.0100000000000003E-4</v>
      </c>
      <c r="D3" s="122">
        <f t="shared" ref="D3:D13" si="0">(C4-C3)/(B4-B3)</f>
        <v>8.6076923076922832E-3</v>
      </c>
    </row>
    <row r="4" spans="1:4" x14ac:dyDescent="0.2">
      <c r="A4" s="116"/>
      <c r="B4" s="117">
        <v>2.93</v>
      </c>
      <c r="C4" s="118">
        <v>1.6199999999999999E-3</v>
      </c>
      <c r="D4" s="122">
        <f t="shared" si="0"/>
        <v>1.8666666666666696E-2</v>
      </c>
    </row>
    <row r="5" spans="1:4" x14ac:dyDescent="0.2">
      <c r="A5" s="116"/>
      <c r="B5" s="117">
        <v>3.02</v>
      </c>
      <c r="C5" s="118">
        <v>3.3E-3</v>
      </c>
      <c r="D5" s="122">
        <f t="shared" si="0"/>
        <v>3.7777777777777841E-2</v>
      </c>
    </row>
    <row r="6" spans="1:4" x14ac:dyDescent="0.2">
      <c r="A6" s="116"/>
      <c r="B6" s="117">
        <v>3.11</v>
      </c>
      <c r="C6" s="118">
        <v>6.7000000000000002E-3</v>
      </c>
      <c r="D6" s="122">
        <f t="shared" si="0"/>
        <v>7.7636363636363406E-2</v>
      </c>
    </row>
    <row r="7" spans="1:4" x14ac:dyDescent="0.2">
      <c r="A7" s="116"/>
      <c r="B7" s="117">
        <v>3.22</v>
      </c>
      <c r="C7" s="118">
        <v>1.524E-2</v>
      </c>
      <c r="D7" s="122">
        <f t="shared" si="0"/>
        <v>0.19741176470588248</v>
      </c>
    </row>
    <row r="8" spans="1:4" x14ac:dyDescent="0.2">
      <c r="A8" s="116"/>
      <c r="B8" s="117">
        <v>3.39</v>
      </c>
      <c r="C8" s="118">
        <v>4.8800000000000003E-2</v>
      </c>
      <c r="D8" s="122">
        <f>(C9-C8)/(B9-B8)</f>
        <v>0.50899999999999945</v>
      </c>
    </row>
    <row r="9" spans="1:4" x14ac:dyDescent="0.2">
      <c r="A9" s="116"/>
      <c r="B9" s="117">
        <v>3.49</v>
      </c>
      <c r="C9" s="118">
        <v>9.9699999999999997E-2</v>
      </c>
      <c r="D9" s="122">
        <f>(C10-C9)/(B10-B9)</f>
        <v>1.0466666666666733</v>
      </c>
    </row>
    <row r="10" spans="1:4" x14ac:dyDescent="0.2">
      <c r="A10" s="116"/>
      <c r="B10" s="117">
        <v>3.52</v>
      </c>
      <c r="C10" s="118">
        <v>0.13109999999999999</v>
      </c>
      <c r="D10" s="122">
        <f t="shared" si="0"/>
        <v>0.51692307692307737</v>
      </c>
    </row>
    <row r="11" spans="1:4" x14ac:dyDescent="0.2">
      <c r="A11" s="116"/>
      <c r="B11" s="117">
        <v>3.65</v>
      </c>
      <c r="C11" s="118">
        <v>0.1983</v>
      </c>
      <c r="D11" s="122">
        <f>(C12-C11)/(B12-B11)</f>
        <v>0.49111111111110933</v>
      </c>
    </row>
    <row r="12" spans="1:4" x14ac:dyDescent="0.2">
      <c r="A12" s="116"/>
      <c r="B12" s="117">
        <v>3.74</v>
      </c>
      <c r="C12" s="118">
        <v>0.24249999999999999</v>
      </c>
      <c r="D12" s="122">
        <f t="shared" si="0"/>
        <v>0.23000000000000456</v>
      </c>
    </row>
    <row r="13" spans="1:4" x14ac:dyDescent="0.2">
      <c r="A13" s="116"/>
      <c r="B13" s="117">
        <v>3.76</v>
      </c>
      <c r="C13" s="118">
        <v>0.24709999999999999</v>
      </c>
      <c r="D13" s="122">
        <f t="shared" si="0"/>
        <v>0.18999999999999689</v>
      </c>
    </row>
    <row r="14" spans="1:4" x14ac:dyDescent="0.2">
      <c r="A14" s="116"/>
      <c r="B14" s="117">
        <v>3.77</v>
      </c>
      <c r="C14" s="118">
        <v>0.249</v>
      </c>
      <c r="D14" s="122">
        <f>(C15-C14)/(B15-B14)</f>
        <v>0.28749999999999998</v>
      </c>
    </row>
    <row r="15" spans="1:4" x14ac:dyDescent="0.2">
      <c r="A15" s="116"/>
      <c r="B15" s="117">
        <v>3.85</v>
      </c>
      <c r="C15" s="118">
        <v>0.27200000000000002</v>
      </c>
      <c r="D15" s="122">
        <f>(C16-C15)/(B16-B15)</f>
        <v>7.0649350649350656E-2</v>
      </c>
    </row>
    <row r="16" spans="1:4" x14ac:dyDescent="0.2">
      <c r="A16" s="116"/>
      <c r="B16" s="117"/>
      <c r="C16" s="118"/>
      <c r="D16" s="122"/>
    </row>
    <row r="17" spans="1:4" x14ac:dyDescent="0.2">
      <c r="A17" s="116"/>
      <c r="B17" s="117"/>
      <c r="C17" s="118"/>
      <c r="D17" s="119"/>
    </row>
    <row r="18" spans="1:4" x14ac:dyDescent="0.2">
      <c r="C18" s="120"/>
      <c r="D18" s="119"/>
    </row>
    <row r="19" spans="1:4" x14ac:dyDescent="0.2">
      <c r="D19" s="121"/>
    </row>
  </sheetData>
  <pageMargins left="0.7" right="0.7" top="0.75" bottom="0.75" header="0.3" footer="0.3"/>
  <pageSetup scale="84" orientation="landscape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F36"/>
  <sheetViews>
    <sheetView zoomScaleNormal="100" workbookViewId="0">
      <selection activeCell="D22" sqref="D22"/>
    </sheetView>
  </sheetViews>
  <sheetFormatPr defaultRowHeight="12.75" x14ac:dyDescent="0.2"/>
  <cols>
    <col min="1" max="1" width="14.140625" style="133" customWidth="1"/>
    <col min="2" max="2" width="13.28515625" style="133" customWidth="1"/>
    <col min="3" max="3" width="12.5703125" style="130" customWidth="1"/>
    <col min="4" max="9" width="9.140625" style="130"/>
    <col min="10" max="14" width="6.140625" style="130" customWidth="1"/>
    <col min="15" max="15" width="11" style="130" customWidth="1"/>
    <col min="16" max="16384" width="9.140625" style="130"/>
  </cols>
  <sheetData>
    <row r="1" spans="1:6" ht="15.75" x14ac:dyDescent="0.25">
      <c r="A1" s="216" t="s">
        <v>124</v>
      </c>
      <c r="B1" s="244"/>
      <c r="C1" s="244"/>
      <c r="D1" s="244"/>
      <c r="E1" s="244"/>
      <c r="F1" s="244"/>
    </row>
    <row r="2" spans="1:6" x14ac:dyDescent="0.2">
      <c r="A2" s="229" t="s">
        <v>128</v>
      </c>
      <c r="B2" s="203" t="s">
        <v>125</v>
      </c>
      <c r="C2" s="203"/>
      <c r="D2" s="203"/>
      <c r="E2" s="203"/>
      <c r="F2" s="219" t="s">
        <v>126</v>
      </c>
    </row>
    <row r="3" spans="1:6" x14ac:dyDescent="0.2">
      <c r="A3" s="241"/>
      <c r="B3" s="129" t="s">
        <v>118</v>
      </c>
      <c r="C3" s="129" t="s">
        <v>117</v>
      </c>
      <c r="D3" s="129" t="s">
        <v>116</v>
      </c>
      <c r="E3" s="129" t="s">
        <v>115</v>
      </c>
      <c r="F3" s="242"/>
    </row>
    <row r="4" spans="1:6" x14ac:dyDescent="0.2">
      <c r="A4" s="131"/>
      <c r="B4" s="132">
        <v>0</v>
      </c>
      <c r="C4" s="132">
        <v>0</v>
      </c>
      <c r="D4" s="132">
        <v>0</v>
      </c>
      <c r="E4" s="132">
        <v>1</v>
      </c>
      <c r="F4" s="132">
        <v>1</v>
      </c>
    </row>
    <row r="5" spans="1:6" x14ac:dyDescent="0.2">
      <c r="A5" s="131"/>
      <c r="B5" s="132">
        <v>0</v>
      </c>
      <c r="C5" s="132">
        <v>0</v>
      </c>
      <c r="D5" s="132">
        <v>1</v>
      </c>
      <c r="E5" s="132">
        <v>0</v>
      </c>
      <c r="F5" s="132">
        <v>2</v>
      </c>
    </row>
    <row r="6" spans="1:6" x14ac:dyDescent="0.2">
      <c r="A6" s="131"/>
      <c r="B6" s="132">
        <v>0</v>
      </c>
      <c r="C6" s="132">
        <v>0</v>
      </c>
      <c r="D6" s="132">
        <v>1</v>
      </c>
      <c r="E6" s="132">
        <v>1</v>
      </c>
      <c r="F6" s="132">
        <v>3</v>
      </c>
    </row>
    <row r="7" spans="1:6" x14ac:dyDescent="0.2">
      <c r="A7" s="131"/>
      <c r="B7" s="132">
        <v>0</v>
      </c>
      <c r="C7" s="132">
        <v>1</v>
      </c>
      <c r="D7" s="132">
        <v>0</v>
      </c>
      <c r="E7" s="132">
        <v>0</v>
      </c>
      <c r="F7" s="132">
        <v>4</v>
      </c>
    </row>
    <row r="8" spans="1:6" x14ac:dyDescent="0.2">
      <c r="A8" s="131"/>
      <c r="B8" s="132">
        <v>0</v>
      </c>
      <c r="C8" s="132">
        <v>1</v>
      </c>
      <c r="D8" s="132">
        <v>0</v>
      </c>
      <c r="E8" s="132">
        <v>1</v>
      </c>
      <c r="F8" s="132">
        <v>5</v>
      </c>
    </row>
    <row r="9" spans="1:6" x14ac:dyDescent="0.2">
      <c r="A9" s="131"/>
      <c r="B9" s="132">
        <v>0</v>
      </c>
      <c r="C9" s="132">
        <v>1</v>
      </c>
      <c r="D9" s="132">
        <v>1</v>
      </c>
      <c r="E9" s="132">
        <v>0</v>
      </c>
      <c r="F9" s="132">
        <v>6</v>
      </c>
    </row>
    <row r="10" spans="1:6" x14ac:dyDescent="0.2">
      <c r="A10" s="131"/>
      <c r="B10" s="132">
        <v>0</v>
      </c>
      <c r="C10" s="132">
        <v>1</v>
      </c>
      <c r="D10" s="132">
        <v>1</v>
      </c>
      <c r="E10" s="132">
        <v>1</v>
      </c>
      <c r="F10" s="132">
        <v>7</v>
      </c>
    </row>
    <row r="11" spans="1:6" x14ac:dyDescent="0.2">
      <c r="A11" s="131"/>
      <c r="B11" s="132">
        <v>1</v>
      </c>
      <c r="C11" s="132">
        <v>0</v>
      </c>
      <c r="D11" s="132">
        <v>0</v>
      </c>
      <c r="E11" s="132">
        <v>0</v>
      </c>
      <c r="F11" s="132">
        <v>8</v>
      </c>
    </row>
    <row r="12" spans="1:6" x14ac:dyDescent="0.2">
      <c r="A12" s="131"/>
      <c r="B12" s="132">
        <v>1</v>
      </c>
      <c r="C12" s="132">
        <v>0</v>
      </c>
      <c r="D12" s="132">
        <v>0</v>
      </c>
      <c r="E12" s="132">
        <v>1</v>
      </c>
      <c r="F12" s="132">
        <v>9</v>
      </c>
    </row>
    <row r="13" spans="1:6" x14ac:dyDescent="0.2">
      <c r="A13" s="131"/>
      <c r="B13" s="132">
        <v>1</v>
      </c>
      <c r="C13" s="132">
        <v>0</v>
      </c>
      <c r="D13" s="132">
        <v>1</v>
      </c>
      <c r="E13" s="132">
        <v>0</v>
      </c>
      <c r="F13" s="132">
        <v>10</v>
      </c>
    </row>
    <row r="14" spans="1:6" x14ac:dyDescent="0.2">
      <c r="A14" s="131"/>
      <c r="B14" s="132">
        <v>1</v>
      </c>
      <c r="C14" s="132">
        <v>0</v>
      </c>
      <c r="D14" s="132">
        <v>1</v>
      </c>
      <c r="E14" s="132">
        <v>1</v>
      </c>
      <c r="F14" s="132">
        <v>11</v>
      </c>
    </row>
    <row r="15" spans="1:6" x14ac:dyDescent="0.2">
      <c r="A15" s="131"/>
      <c r="B15" s="132">
        <v>1</v>
      </c>
      <c r="C15" s="132">
        <v>1</v>
      </c>
      <c r="D15" s="132">
        <v>0</v>
      </c>
      <c r="E15" s="132">
        <v>0</v>
      </c>
      <c r="F15" s="132">
        <v>12</v>
      </c>
    </row>
    <row r="16" spans="1:6" x14ac:dyDescent="0.2">
      <c r="A16" s="131"/>
      <c r="B16" s="132">
        <v>1</v>
      </c>
      <c r="C16" s="132">
        <v>1</v>
      </c>
      <c r="D16" s="132">
        <v>0</v>
      </c>
      <c r="E16" s="132">
        <v>1</v>
      </c>
      <c r="F16" s="132">
        <v>13</v>
      </c>
    </row>
    <row r="17" spans="1:6" x14ac:dyDescent="0.2">
      <c r="A17" s="131"/>
      <c r="B17" s="132">
        <v>1</v>
      </c>
      <c r="C17" s="132">
        <v>1</v>
      </c>
      <c r="D17" s="132">
        <v>1</v>
      </c>
      <c r="E17" s="132">
        <v>0</v>
      </c>
      <c r="F17" s="132">
        <v>14</v>
      </c>
    </row>
    <row r="18" spans="1:6" x14ac:dyDescent="0.2">
      <c r="A18" s="131"/>
      <c r="B18" s="132">
        <v>1</v>
      </c>
      <c r="C18" s="132">
        <v>1</v>
      </c>
      <c r="D18" s="132">
        <v>1</v>
      </c>
      <c r="E18" s="132">
        <v>1</v>
      </c>
      <c r="F18" s="132">
        <v>15</v>
      </c>
    </row>
    <row r="20" spans="1:6" ht="15.75" x14ac:dyDescent="0.25">
      <c r="A20" s="216" t="s">
        <v>123</v>
      </c>
      <c r="B20" s="243"/>
      <c r="C20" s="243"/>
      <c r="D20" s="243"/>
    </row>
    <row r="21" spans="1:6" ht="25.5" x14ac:dyDescent="0.2">
      <c r="A21" s="123" t="s">
        <v>43</v>
      </c>
      <c r="B21" s="124" t="s">
        <v>114</v>
      </c>
      <c r="C21" s="124" t="s">
        <v>127</v>
      </c>
      <c r="D21" s="59" t="s">
        <v>65</v>
      </c>
    </row>
    <row r="22" spans="1:6" x14ac:dyDescent="0.2">
      <c r="A22" s="125" t="s">
        <v>44</v>
      </c>
      <c r="B22" s="125">
        <v>1</v>
      </c>
      <c r="C22" s="134"/>
      <c r="D22" s="115">
        <f t="shared" ref="D22:D35" si="0">((ABS(C22)-B22)/B22)</f>
        <v>-1</v>
      </c>
    </row>
    <row r="23" spans="1:6" x14ac:dyDescent="0.2">
      <c r="A23" s="125" t="s">
        <v>45</v>
      </c>
      <c r="B23" s="125">
        <v>2</v>
      </c>
      <c r="C23" s="134"/>
      <c r="D23" s="115">
        <f t="shared" si="0"/>
        <v>-1</v>
      </c>
    </row>
    <row r="24" spans="1:6" x14ac:dyDescent="0.2">
      <c r="A24" s="125" t="s">
        <v>46</v>
      </c>
      <c r="B24" s="125">
        <v>3</v>
      </c>
      <c r="C24" s="134"/>
      <c r="D24" s="115">
        <f t="shared" si="0"/>
        <v>-1</v>
      </c>
    </row>
    <row r="25" spans="1:6" x14ac:dyDescent="0.2">
      <c r="A25" s="125" t="s">
        <v>47</v>
      </c>
      <c r="B25" s="125">
        <v>4</v>
      </c>
      <c r="C25" s="134"/>
      <c r="D25" s="115">
        <f t="shared" si="0"/>
        <v>-1</v>
      </c>
    </row>
    <row r="26" spans="1:6" x14ac:dyDescent="0.2">
      <c r="A26" s="125" t="s">
        <v>48</v>
      </c>
      <c r="B26" s="125">
        <v>5</v>
      </c>
      <c r="C26" s="134"/>
      <c r="D26" s="115">
        <f t="shared" si="0"/>
        <v>-1</v>
      </c>
    </row>
    <row r="27" spans="1:6" x14ac:dyDescent="0.2">
      <c r="A27" s="125" t="s">
        <v>49</v>
      </c>
      <c r="B27" s="125">
        <v>6</v>
      </c>
      <c r="C27" s="134"/>
      <c r="D27" s="115">
        <f t="shared" si="0"/>
        <v>-1</v>
      </c>
    </row>
    <row r="28" spans="1:6" x14ac:dyDescent="0.2">
      <c r="A28" s="125" t="s">
        <v>50</v>
      </c>
      <c r="B28" s="125">
        <v>7</v>
      </c>
      <c r="C28" s="134"/>
      <c r="D28" s="115">
        <f t="shared" si="0"/>
        <v>-1</v>
      </c>
    </row>
    <row r="29" spans="1:6" x14ac:dyDescent="0.2">
      <c r="A29" s="125" t="s">
        <v>51</v>
      </c>
      <c r="B29" s="125">
        <v>8</v>
      </c>
      <c r="C29" s="134"/>
      <c r="D29" s="115">
        <f t="shared" si="0"/>
        <v>-1</v>
      </c>
    </row>
    <row r="30" spans="1:6" x14ac:dyDescent="0.2">
      <c r="A30" s="125" t="s">
        <v>52</v>
      </c>
      <c r="B30" s="125">
        <v>9</v>
      </c>
      <c r="C30" s="134"/>
      <c r="D30" s="115">
        <f t="shared" si="0"/>
        <v>-1</v>
      </c>
    </row>
    <row r="31" spans="1:6" x14ac:dyDescent="0.2">
      <c r="A31" s="125" t="s">
        <v>53</v>
      </c>
      <c r="B31" s="125">
        <v>10</v>
      </c>
      <c r="C31" s="134"/>
      <c r="D31" s="115">
        <f t="shared" si="0"/>
        <v>-1</v>
      </c>
    </row>
    <row r="32" spans="1:6" x14ac:dyDescent="0.2">
      <c r="A32" s="125" t="s">
        <v>54</v>
      </c>
      <c r="B32" s="125">
        <v>11</v>
      </c>
      <c r="C32" s="134"/>
      <c r="D32" s="115">
        <f t="shared" si="0"/>
        <v>-1</v>
      </c>
    </row>
    <row r="33" spans="1:4" x14ac:dyDescent="0.2">
      <c r="A33" s="125" t="s">
        <v>55</v>
      </c>
      <c r="B33" s="125">
        <v>12</v>
      </c>
      <c r="C33" s="134"/>
      <c r="D33" s="115">
        <f t="shared" si="0"/>
        <v>-1</v>
      </c>
    </row>
    <row r="34" spans="1:4" x14ac:dyDescent="0.2">
      <c r="A34" s="125" t="s">
        <v>56</v>
      </c>
      <c r="B34" s="125">
        <v>13</v>
      </c>
      <c r="C34" s="134"/>
      <c r="D34" s="115">
        <f t="shared" si="0"/>
        <v>-1</v>
      </c>
    </row>
    <row r="35" spans="1:4" x14ac:dyDescent="0.2">
      <c r="A35" s="125" t="s">
        <v>58</v>
      </c>
      <c r="B35" s="125">
        <v>14</v>
      </c>
      <c r="C35" s="134"/>
      <c r="D35" s="115">
        <f t="shared" si="0"/>
        <v>-1</v>
      </c>
    </row>
    <row r="36" spans="1:4" x14ac:dyDescent="0.2">
      <c r="A36" s="125" t="s">
        <v>57</v>
      </c>
      <c r="B36" s="125">
        <v>15</v>
      </c>
      <c r="C36" s="134"/>
      <c r="D36" s="115">
        <f>(C36--B36)/B36</f>
        <v>1</v>
      </c>
    </row>
  </sheetData>
  <sheetProtection sheet="1" objects="1" scenarios="1"/>
  <mergeCells count="5">
    <mergeCell ref="B2:E2"/>
    <mergeCell ref="A2:A3"/>
    <mergeCell ref="F2:F3"/>
    <mergeCell ref="A20:D20"/>
    <mergeCell ref="A1:F1"/>
  </mergeCells>
  <pageMargins left="0.7" right="0.7" top="0.75" bottom="0.75" header="0.3" footer="0.3"/>
  <pageSetup scale="7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2:T29"/>
  <sheetViews>
    <sheetView tabSelected="1" topLeftCell="B1" zoomScale="115" zoomScaleNormal="115" workbookViewId="0">
      <selection activeCell="R9" sqref="R9"/>
    </sheetView>
  </sheetViews>
  <sheetFormatPr defaultRowHeight="12.75" x14ac:dyDescent="0.2"/>
  <cols>
    <col min="1" max="1" width="3.7109375" style="10" customWidth="1"/>
    <col min="2" max="2" width="6.140625" style="10" customWidth="1"/>
    <col min="3" max="3" width="17.42578125" style="10" customWidth="1"/>
    <col min="4" max="4" width="13.85546875" style="10" customWidth="1"/>
    <col min="5" max="5" width="10.42578125" style="10" customWidth="1"/>
    <col min="6" max="6" width="5" style="10" customWidth="1"/>
    <col min="7" max="7" width="6.140625" style="10" customWidth="1"/>
    <col min="8" max="8" width="16" style="10" customWidth="1"/>
    <col min="9" max="9" width="13.85546875" style="10" customWidth="1"/>
    <col min="10" max="10" width="10.42578125" style="10" customWidth="1"/>
    <col min="11" max="11" width="5.85546875" style="10" customWidth="1"/>
    <col min="12" max="12" width="6" style="10" bestFit="1" customWidth="1"/>
    <col min="13" max="13" width="15.7109375" style="10" bestFit="1" customWidth="1"/>
    <col min="14" max="14" width="11.7109375" style="10" bestFit="1" customWidth="1"/>
    <col min="15" max="15" width="9.140625" style="10"/>
    <col min="16" max="16" width="6.85546875" style="10" customWidth="1"/>
    <col min="17" max="17" width="9.140625" style="10"/>
    <col min="18" max="18" width="10.85546875" style="10" bestFit="1" customWidth="1"/>
    <col min="19" max="16384" width="9.140625" style="10"/>
  </cols>
  <sheetData>
    <row r="2" spans="2:20" x14ac:dyDescent="0.2">
      <c r="B2" s="207" t="s">
        <v>66</v>
      </c>
      <c r="C2" s="208"/>
      <c r="D2" s="208"/>
      <c r="E2" s="209"/>
      <c r="G2" s="207" t="s">
        <v>67</v>
      </c>
      <c r="H2" s="208"/>
      <c r="I2" s="208"/>
      <c r="J2" s="209"/>
      <c r="L2" s="207" t="s">
        <v>122</v>
      </c>
      <c r="M2" s="208"/>
      <c r="N2" s="208"/>
      <c r="O2" s="209"/>
      <c r="Q2" s="207" t="s">
        <v>132</v>
      </c>
      <c r="R2" s="208"/>
      <c r="S2" s="208"/>
      <c r="T2" s="209"/>
    </row>
    <row r="3" spans="2:20" x14ac:dyDescent="0.2">
      <c r="B3" s="204" t="s">
        <v>10</v>
      </c>
      <c r="C3" s="205"/>
      <c r="D3" s="205"/>
      <c r="E3" s="206"/>
      <c r="G3" s="204" t="s">
        <v>10</v>
      </c>
      <c r="H3" s="205"/>
      <c r="I3" s="205"/>
      <c r="J3" s="206"/>
      <c r="L3" s="204" t="s">
        <v>10</v>
      </c>
      <c r="M3" s="205"/>
      <c r="N3" s="205"/>
      <c r="O3" s="206"/>
      <c r="Q3" s="204" t="s">
        <v>131</v>
      </c>
      <c r="R3" s="205"/>
      <c r="S3" s="205"/>
      <c r="T3" s="206"/>
    </row>
    <row r="4" spans="2:20" ht="15.75" x14ac:dyDescent="0.3">
      <c r="B4" s="11"/>
      <c r="C4" s="12" t="s">
        <v>11</v>
      </c>
      <c r="D4" s="12" t="s">
        <v>12</v>
      </c>
      <c r="E4" s="13" t="s">
        <v>9</v>
      </c>
      <c r="G4" s="11"/>
      <c r="H4" s="12" t="s">
        <v>11</v>
      </c>
      <c r="I4" s="12" t="s">
        <v>12</v>
      </c>
      <c r="J4" s="13" t="s">
        <v>9</v>
      </c>
      <c r="L4" s="11"/>
      <c r="M4" s="12" t="s">
        <v>11</v>
      </c>
      <c r="N4" s="12" t="s">
        <v>12</v>
      </c>
      <c r="O4" s="13" t="s">
        <v>9</v>
      </c>
      <c r="Q4" s="23" t="s">
        <v>133</v>
      </c>
      <c r="R4" s="15">
        <v>1.91</v>
      </c>
      <c r="S4" s="17"/>
      <c r="T4" s="18"/>
    </row>
    <row r="5" spans="2:20" ht="15.75" x14ac:dyDescent="0.3">
      <c r="B5" s="14" t="s">
        <v>13</v>
      </c>
      <c r="C5" s="15">
        <v>1000</v>
      </c>
      <c r="D5" s="15">
        <v>980</v>
      </c>
      <c r="E5" s="31">
        <f>IF(C5&gt;0,(C5-D5)/C5,0)</f>
        <v>0.02</v>
      </c>
      <c r="G5" s="14" t="s">
        <v>13</v>
      </c>
      <c r="H5" s="15">
        <v>1000</v>
      </c>
      <c r="I5" s="15">
        <v>980</v>
      </c>
      <c r="J5" s="31">
        <f>IF(I5&gt;0,(H5-I5)/H5,0)</f>
        <v>0.02</v>
      </c>
      <c r="L5" s="14" t="s">
        <v>13</v>
      </c>
      <c r="M5" s="15">
        <v>1000</v>
      </c>
      <c r="N5" s="15">
        <v>980</v>
      </c>
      <c r="O5" s="31">
        <f>IF(N5&gt;0,(M5-N5)/M5,0)</f>
        <v>0.02</v>
      </c>
      <c r="Q5" s="23" t="s">
        <v>134</v>
      </c>
      <c r="R5" s="15">
        <v>2.91</v>
      </c>
      <c r="S5" s="17"/>
      <c r="T5" s="18"/>
    </row>
    <row r="6" spans="2:20" ht="15.75" x14ac:dyDescent="0.3">
      <c r="B6" s="14" t="s">
        <v>14</v>
      </c>
      <c r="C6" s="15">
        <v>4700</v>
      </c>
      <c r="D6" s="15">
        <v>4730</v>
      </c>
      <c r="E6" s="31">
        <f t="shared" ref="E6:E7" si="0">IF(C6&gt;0,(C6-D6)/C6,0)</f>
        <v>-6.382978723404255E-3</v>
      </c>
      <c r="G6" s="14" t="s">
        <v>14</v>
      </c>
      <c r="H6" s="15">
        <v>4700</v>
      </c>
      <c r="I6" s="15">
        <v>4730</v>
      </c>
      <c r="J6" s="31">
        <f t="shared" ref="J6:J8" si="1">IF(I6&gt;0,(H6-I6)/H6,0)</f>
        <v>-6.382978723404255E-3</v>
      </c>
      <c r="L6" s="14" t="s">
        <v>14</v>
      </c>
      <c r="M6" s="15">
        <v>1800</v>
      </c>
      <c r="N6" s="15">
        <v>1780</v>
      </c>
      <c r="O6" s="31">
        <f t="shared" ref="O6:O8" si="2">IF(N6&gt;0,(M6-N6)/M6,0)</f>
        <v>1.1111111111111112E-2</v>
      </c>
      <c r="Q6" s="23" t="s">
        <v>135</v>
      </c>
      <c r="R6" s="15">
        <v>6.3E-2</v>
      </c>
      <c r="S6" s="17"/>
      <c r="T6" s="18"/>
    </row>
    <row r="7" spans="2:20" ht="15.75" x14ac:dyDescent="0.3">
      <c r="B7" s="14" t="s">
        <v>16</v>
      </c>
      <c r="C7" s="32">
        <f>SUM(C5:C6)</f>
        <v>5700</v>
      </c>
      <c r="D7" s="15">
        <v>5720</v>
      </c>
      <c r="E7" s="31">
        <f t="shared" si="0"/>
        <v>-3.5087719298245615E-3</v>
      </c>
      <c r="G7" s="14" t="s">
        <v>15</v>
      </c>
      <c r="H7" s="15">
        <v>2700</v>
      </c>
      <c r="I7" s="15">
        <v>2680</v>
      </c>
      <c r="J7" s="31">
        <f t="shared" si="1"/>
        <v>7.4074074074074077E-3</v>
      </c>
      <c r="L7" s="14" t="s">
        <v>15</v>
      </c>
      <c r="M7" s="15">
        <v>2700</v>
      </c>
      <c r="N7" s="15">
        <v>2680</v>
      </c>
      <c r="O7" s="31">
        <f t="shared" si="2"/>
        <v>7.4074074074074077E-3</v>
      </c>
      <c r="Q7" s="23" t="s">
        <v>136</v>
      </c>
      <c r="R7" s="32">
        <f>SUM(R4:R6)</f>
        <v>4.883</v>
      </c>
      <c r="S7" s="17"/>
      <c r="T7" s="18"/>
    </row>
    <row r="8" spans="2:20" ht="15.75" x14ac:dyDescent="0.3">
      <c r="B8" s="16"/>
      <c r="C8" s="17"/>
      <c r="D8" s="17"/>
      <c r="E8" s="18"/>
      <c r="G8" s="14" t="s">
        <v>16</v>
      </c>
      <c r="H8" s="32">
        <f>SUM(H5:H7)</f>
        <v>8400</v>
      </c>
      <c r="I8" s="15">
        <v>8400</v>
      </c>
      <c r="J8" s="31">
        <f t="shared" si="1"/>
        <v>0</v>
      </c>
      <c r="L8" s="14" t="s">
        <v>75</v>
      </c>
      <c r="M8" s="15">
        <v>3900</v>
      </c>
      <c r="N8" s="15">
        <v>3970</v>
      </c>
      <c r="O8" s="31">
        <f t="shared" si="2"/>
        <v>-1.7948717948717947E-2</v>
      </c>
      <c r="Q8" s="23" t="s">
        <v>137</v>
      </c>
      <c r="R8" s="15">
        <v>4.93</v>
      </c>
      <c r="S8" s="17"/>
      <c r="T8" s="18"/>
    </row>
    <row r="9" spans="2:20" x14ac:dyDescent="0.2">
      <c r="B9" s="214" t="s">
        <v>22</v>
      </c>
      <c r="C9" s="215"/>
      <c r="D9" s="215"/>
      <c r="E9" s="18"/>
      <c r="G9" s="16"/>
      <c r="H9" s="17"/>
      <c r="I9" s="17"/>
      <c r="J9" s="18"/>
      <c r="L9" s="14" t="s">
        <v>16</v>
      </c>
      <c r="M9" s="32">
        <f>SUM(M5:M8)</f>
        <v>9400</v>
      </c>
      <c r="N9" s="15">
        <v>9440</v>
      </c>
      <c r="O9" s="31">
        <f>IF(N9&gt;0,(M9-N9)/M9,0)</f>
        <v>-4.2553191489361703E-3</v>
      </c>
      <c r="Q9" s="23" t="s">
        <v>9</v>
      </c>
      <c r="R9" s="76">
        <f>IF(R8&gt;0,(R8-R7)/R8,0)</f>
        <v>9.5334685598376691E-3</v>
      </c>
      <c r="S9" s="27"/>
      <c r="T9" s="28"/>
    </row>
    <row r="10" spans="2:20" ht="15.75" x14ac:dyDescent="0.3">
      <c r="B10" s="11" t="s">
        <v>23</v>
      </c>
      <c r="C10" s="19">
        <v>10</v>
      </c>
      <c r="D10" s="17"/>
      <c r="E10" s="18"/>
      <c r="G10" s="138" t="s">
        <v>22</v>
      </c>
      <c r="H10" s="141"/>
      <c r="I10" s="141"/>
      <c r="J10" s="18"/>
      <c r="L10" s="16"/>
      <c r="M10" s="17"/>
      <c r="N10" s="17"/>
      <c r="O10" s="18"/>
    </row>
    <row r="11" spans="2:20" ht="15.75" x14ac:dyDescent="0.3">
      <c r="B11" s="20"/>
      <c r="C11" s="21"/>
      <c r="D11" s="17"/>
      <c r="E11" s="18"/>
      <c r="G11" s="11" t="s">
        <v>23</v>
      </c>
      <c r="H11" s="19">
        <v>10</v>
      </c>
      <c r="I11" s="17"/>
      <c r="J11" s="18"/>
      <c r="L11" s="214" t="s">
        <v>22</v>
      </c>
      <c r="M11" s="211"/>
      <c r="N11" s="211"/>
      <c r="O11" s="212"/>
    </row>
    <row r="12" spans="2:20" ht="15.75" x14ac:dyDescent="0.3">
      <c r="B12" s="210" t="s">
        <v>17</v>
      </c>
      <c r="C12" s="213"/>
      <c r="D12" s="213"/>
      <c r="E12" s="18"/>
      <c r="G12" s="20"/>
      <c r="H12" s="21"/>
      <c r="I12" s="17"/>
      <c r="J12" s="18"/>
      <c r="L12" s="11" t="s">
        <v>23</v>
      </c>
      <c r="M12" s="19">
        <v>10</v>
      </c>
      <c r="N12" s="17"/>
      <c r="O12" s="18"/>
    </row>
    <row r="13" spans="2:20" x14ac:dyDescent="0.2">
      <c r="B13" s="11"/>
      <c r="C13" s="22" t="s">
        <v>169</v>
      </c>
      <c r="D13" s="22" t="s">
        <v>9</v>
      </c>
      <c r="E13" s="18"/>
      <c r="G13" s="139" t="s">
        <v>17</v>
      </c>
      <c r="H13" s="140"/>
      <c r="I13" s="140"/>
      <c r="J13" s="18"/>
      <c r="L13" s="20"/>
      <c r="M13" s="21"/>
      <c r="N13" s="17"/>
      <c r="O13" s="18"/>
    </row>
    <row r="14" spans="2:20" ht="15.75" x14ac:dyDescent="0.3">
      <c r="B14" s="23" t="s">
        <v>18</v>
      </c>
      <c r="C14" s="176">
        <f>C7</f>
        <v>5700</v>
      </c>
      <c r="D14" s="33">
        <f>IF(C14&gt;0,(C15-C14)/C14,0)</f>
        <v>3.5087719298245615E-3</v>
      </c>
      <c r="E14" s="18"/>
      <c r="G14" s="11"/>
      <c r="H14" s="22" t="s">
        <v>169</v>
      </c>
      <c r="I14" s="22" t="s">
        <v>9</v>
      </c>
      <c r="J14" s="18"/>
      <c r="L14" s="210" t="s">
        <v>17</v>
      </c>
      <c r="M14" s="211"/>
      <c r="N14" s="211"/>
      <c r="O14" s="212"/>
    </row>
    <row r="15" spans="2:20" ht="15.75" x14ac:dyDescent="0.3">
      <c r="B15" s="23" t="s">
        <v>19</v>
      </c>
      <c r="C15" s="176">
        <f>D7</f>
        <v>5720</v>
      </c>
      <c r="D15" s="17"/>
      <c r="E15" s="18"/>
      <c r="G15" s="23" t="s">
        <v>18</v>
      </c>
      <c r="H15" s="176">
        <f>H8</f>
        <v>8400</v>
      </c>
      <c r="I15" s="33">
        <f>IF(H15&gt;0,(H16-H15)/H15,0)</f>
        <v>0</v>
      </c>
      <c r="J15" s="18"/>
      <c r="L15" s="11"/>
      <c r="M15" s="22" t="s">
        <v>169</v>
      </c>
      <c r="N15" s="22" t="s">
        <v>9</v>
      </c>
      <c r="O15" s="18"/>
    </row>
    <row r="16" spans="2:20" ht="15.75" x14ac:dyDescent="0.3">
      <c r="B16" s="177" t="s">
        <v>20</v>
      </c>
      <c r="C16" s="178">
        <f>IF(C14&gt;0,C10/C14,0)</f>
        <v>1.7543859649122807E-3</v>
      </c>
      <c r="D16" s="179">
        <f>IF(C16&gt;0,(C17-C16)/C16,0)</f>
        <v>-2.4999999999999979E-3</v>
      </c>
      <c r="E16" s="18"/>
      <c r="G16" s="23" t="s">
        <v>19</v>
      </c>
      <c r="H16" s="176">
        <f>I8</f>
        <v>8400</v>
      </c>
      <c r="I16" s="17"/>
      <c r="J16" s="18"/>
      <c r="L16" s="23" t="s">
        <v>18</v>
      </c>
      <c r="M16" s="176">
        <f>M9</f>
        <v>9400</v>
      </c>
      <c r="N16" s="33">
        <f>IF(M16&gt;0,(M17-M16)/M16,0)</f>
        <v>4.2553191489361703E-3</v>
      </c>
      <c r="O16" s="18"/>
    </row>
    <row r="17" spans="2:15" ht="15.75" x14ac:dyDescent="0.3">
      <c r="B17" s="23" t="s">
        <v>21</v>
      </c>
      <c r="C17" s="15">
        <v>1.75E-3</v>
      </c>
      <c r="D17" s="17"/>
      <c r="E17" s="18"/>
      <c r="G17" s="177" t="s">
        <v>20</v>
      </c>
      <c r="H17" s="178">
        <f>IF(H15&gt;0,H11/H15,0)</f>
        <v>1.1904761904761906E-3</v>
      </c>
      <c r="I17" s="179">
        <f>IF(H17&gt;0,(H18-H17)/H17,0)</f>
        <v>-8.8000000000000404E-3</v>
      </c>
      <c r="J17" s="18"/>
      <c r="L17" s="23" t="s">
        <v>19</v>
      </c>
      <c r="M17" s="176">
        <f>N9</f>
        <v>9440</v>
      </c>
      <c r="N17" s="17"/>
      <c r="O17" s="18"/>
    </row>
    <row r="18" spans="2:15" ht="15.75" x14ac:dyDescent="0.3">
      <c r="B18" s="20"/>
      <c r="C18" s="24"/>
      <c r="D18" s="17"/>
      <c r="E18" s="18"/>
      <c r="G18" s="23" t="s">
        <v>21</v>
      </c>
      <c r="H18" s="15">
        <v>1.1800000000000001E-3</v>
      </c>
      <c r="I18" s="17"/>
      <c r="J18" s="18"/>
      <c r="L18" s="177" t="s">
        <v>20</v>
      </c>
      <c r="M18" s="178">
        <f>IF(M16&gt;0,M12/M16,0)</f>
        <v>1.0638297872340426E-3</v>
      </c>
      <c r="N18" s="179">
        <f>IF(M18&gt;0,(M19-M18)/M18,0)</f>
        <v>-3.6000000000000528E-3</v>
      </c>
      <c r="O18" s="18"/>
    </row>
    <row r="19" spans="2:15" ht="15.75" x14ac:dyDescent="0.3">
      <c r="B19" s="16"/>
      <c r="C19" s="17"/>
      <c r="D19" s="17"/>
      <c r="E19" s="18"/>
      <c r="G19" s="20"/>
      <c r="H19" s="24" t="s">
        <v>68</v>
      </c>
      <c r="I19" s="17"/>
      <c r="J19" s="18"/>
      <c r="L19" s="23" t="s">
        <v>21</v>
      </c>
      <c r="M19" s="15">
        <v>1.06E-3</v>
      </c>
      <c r="N19" s="17"/>
      <c r="O19" s="18"/>
    </row>
    <row r="20" spans="2:15" x14ac:dyDescent="0.2">
      <c r="B20" s="204" t="s">
        <v>24</v>
      </c>
      <c r="C20" s="205"/>
      <c r="D20" s="205"/>
      <c r="E20" s="206"/>
      <c r="G20" s="16"/>
      <c r="H20" s="17"/>
      <c r="I20" s="17"/>
      <c r="J20" s="18"/>
      <c r="L20" s="20"/>
      <c r="M20" s="24" t="s">
        <v>68</v>
      </c>
      <c r="N20" s="17"/>
      <c r="O20" s="18"/>
    </row>
    <row r="21" spans="2:15" ht="14.25" x14ac:dyDescent="0.25">
      <c r="B21" s="16"/>
      <c r="C21" s="22" t="s">
        <v>93</v>
      </c>
      <c r="D21" s="22" t="s">
        <v>94</v>
      </c>
      <c r="E21" s="13" t="s">
        <v>9</v>
      </c>
      <c r="G21" s="135" t="s">
        <v>24</v>
      </c>
      <c r="H21" s="136"/>
      <c r="I21" s="136"/>
      <c r="J21" s="137"/>
      <c r="L21" s="16"/>
      <c r="M21" s="17"/>
      <c r="N21" s="17"/>
      <c r="O21" s="18"/>
    </row>
    <row r="22" spans="2:15" ht="14.25" x14ac:dyDescent="0.25">
      <c r="B22" s="23" t="s">
        <v>13</v>
      </c>
      <c r="C22" s="34">
        <f>C16*C5</f>
        <v>1.7543859649122808</v>
      </c>
      <c r="D22" s="25">
        <v>1.72</v>
      </c>
      <c r="E22" s="31">
        <f>IF(C22&gt;0,(D22-C22)/C22,0)</f>
        <v>-1.9600000000000086E-2</v>
      </c>
      <c r="G22" s="16"/>
      <c r="H22" s="22" t="s">
        <v>93</v>
      </c>
      <c r="I22" s="22" t="s">
        <v>94</v>
      </c>
      <c r="J22" s="13" t="s">
        <v>9</v>
      </c>
      <c r="L22" s="204" t="s">
        <v>24</v>
      </c>
      <c r="M22" s="211"/>
      <c r="N22" s="211"/>
      <c r="O22" s="212"/>
    </row>
    <row r="23" spans="2:15" ht="14.25" x14ac:dyDescent="0.25">
      <c r="B23" s="23" t="s">
        <v>14</v>
      </c>
      <c r="C23" s="34">
        <f>C16*C6</f>
        <v>8.2456140350877192</v>
      </c>
      <c r="D23" s="25">
        <v>8.26</v>
      </c>
      <c r="E23" s="31">
        <f>IF(C23&gt;0,(D23-C23)/C23,0)</f>
        <v>1.744680851063819E-3</v>
      </c>
      <c r="G23" s="23" t="s">
        <v>13</v>
      </c>
      <c r="H23" s="34">
        <f>$H$18*H5</f>
        <v>1.1800000000000002</v>
      </c>
      <c r="I23" s="25">
        <v>1.17</v>
      </c>
      <c r="J23" s="31">
        <f>IF(H23&gt;0,(I23-H23)/H23,0)</f>
        <v>-8.4745762711866349E-3</v>
      </c>
      <c r="L23" s="16"/>
      <c r="M23" s="22" t="s">
        <v>93</v>
      </c>
      <c r="N23" s="22" t="s">
        <v>94</v>
      </c>
      <c r="O23" s="13" t="s">
        <v>9</v>
      </c>
    </row>
    <row r="24" spans="2:15" ht="15.75" x14ac:dyDescent="0.3">
      <c r="B24" s="29" t="s">
        <v>69</v>
      </c>
      <c r="C24" s="35">
        <f>SUM(C21:C23)</f>
        <v>10</v>
      </c>
      <c r="D24" s="30">
        <v>9.99</v>
      </c>
      <c r="E24" s="31">
        <f>IF(C24&gt;0,(D24-C24)/C24,0)</f>
        <v>-9.9999999999997877E-4</v>
      </c>
      <c r="G24" s="23" t="s">
        <v>14</v>
      </c>
      <c r="H24" s="34">
        <f>$H$18*H6</f>
        <v>5.5460000000000003</v>
      </c>
      <c r="I24" s="25">
        <v>5.62</v>
      </c>
      <c r="J24" s="31">
        <f t="shared" ref="J24:J26" si="3">IF(H24&gt;0,(I24-H24)/H24,0)</f>
        <v>1.3342949873782877E-2</v>
      </c>
      <c r="L24" s="23" t="s">
        <v>13</v>
      </c>
      <c r="M24" s="32">
        <f>$M$18*M5</f>
        <v>1.0638297872340425</v>
      </c>
      <c r="N24" s="25">
        <v>1.04</v>
      </c>
      <c r="O24" s="31">
        <f>IF(M24&gt;0,(N24-M24)/M24,0)</f>
        <v>-2.2399999999999948E-2</v>
      </c>
    </row>
    <row r="25" spans="2:15" x14ac:dyDescent="0.2">
      <c r="B25" s="16"/>
      <c r="C25" s="17"/>
      <c r="D25" s="17"/>
      <c r="E25" s="18"/>
      <c r="G25" s="23" t="s">
        <v>15</v>
      </c>
      <c r="H25" s="34">
        <f>$H$18*H7</f>
        <v>3.1859999999999999</v>
      </c>
      <c r="I25" s="25">
        <v>3.18</v>
      </c>
      <c r="J25" s="31">
        <f t="shared" si="3"/>
        <v>-1.8832391713746966E-3</v>
      </c>
      <c r="L25" s="23" t="s">
        <v>14</v>
      </c>
      <c r="M25" s="32">
        <f>$M$18*M6</f>
        <v>1.9148936170212767</v>
      </c>
      <c r="N25" s="25">
        <v>1.88</v>
      </c>
      <c r="O25" s="31">
        <f t="shared" ref="O25:O28" si="4">IF(M25&gt;0,(N25-M25)/M25,0)</f>
        <v>-1.8222222222222327E-2</v>
      </c>
    </row>
    <row r="26" spans="2:15" ht="15.75" x14ac:dyDescent="0.3">
      <c r="B26" s="26"/>
      <c r="C26" s="27"/>
      <c r="D26" s="27"/>
      <c r="E26" s="28"/>
      <c r="G26" s="29" t="s">
        <v>69</v>
      </c>
      <c r="H26" s="35">
        <f>SUM(H23:H25)</f>
        <v>9.9120000000000008</v>
      </c>
      <c r="I26" s="30">
        <v>9.9499999999999993</v>
      </c>
      <c r="J26" s="36">
        <f t="shared" si="3"/>
        <v>3.8337368845841884E-3</v>
      </c>
      <c r="L26" s="23" t="s">
        <v>15</v>
      </c>
      <c r="M26" s="32">
        <f>$M$18*M7</f>
        <v>2.8723404255319149</v>
      </c>
      <c r="N26" s="25">
        <v>2.83</v>
      </c>
      <c r="O26" s="31">
        <f t="shared" si="4"/>
        <v>-1.474074074074073E-2</v>
      </c>
    </row>
    <row r="27" spans="2:15" x14ac:dyDescent="0.2">
      <c r="L27" s="23" t="s">
        <v>75</v>
      </c>
      <c r="M27" s="32">
        <f>$M$18*M8</f>
        <v>4.1489361702127656</v>
      </c>
      <c r="N27" s="25">
        <v>4.1900000000000004</v>
      </c>
      <c r="O27" s="31">
        <f t="shared" si="4"/>
        <v>9.8974358974360747E-3</v>
      </c>
    </row>
    <row r="28" spans="2:15" ht="15.75" x14ac:dyDescent="0.3">
      <c r="L28" s="29" t="s">
        <v>69</v>
      </c>
      <c r="M28" s="37">
        <f>SUM(M24:M27)</f>
        <v>10</v>
      </c>
      <c r="N28" s="30">
        <v>9.9499999999999993</v>
      </c>
      <c r="O28" s="147">
        <f t="shared" si="4"/>
        <v>-5.0000000000000712E-3</v>
      </c>
    </row>
    <row r="29" spans="2:15" x14ac:dyDescent="0.2">
      <c r="M29" s="180"/>
      <c r="N29" s="245">
        <f>SUM(N24:N27)</f>
        <v>9.9400000000000013</v>
      </c>
    </row>
  </sheetData>
  <mergeCells count="14">
    <mergeCell ref="L14:O14"/>
    <mergeCell ref="L22:O22"/>
    <mergeCell ref="B3:E3"/>
    <mergeCell ref="B12:D12"/>
    <mergeCell ref="B9:D9"/>
    <mergeCell ref="B20:E20"/>
    <mergeCell ref="L11:O11"/>
    <mergeCell ref="Q3:T3"/>
    <mergeCell ref="Q2:T2"/>
    <mergeCell ref="B2:E2"/>
    <mergeCell ref="G2:J2"/>
    <mergeCell ref="G3:J3"/>
    <mergeCell ref="L2:O2"/>
    <mergeCell ref="L3:O3"/>
  </mergeCells>
  <pageMargins left="0.7" right="0.7" top="0.75" bottom="0.75" header="0.3" footer="0.3"/>
  <pageSetup scale="6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J21"/>
  <sheetViews>
    <sheetView zoomScale="115" zoomScaleNormal="115" workbookViewId="0">
      <selection activeCell="J17" activeCellId="14" sqref="C4:D4 C5 F4 C10:C12 C17:C20 D10 D17 F10 F17 H4:H6 J4:J6 H10 J10 H17 J17"/>
    </sheetView>
  </sheetViews>
  <sheetFormatPr defaultRowHeight="12.75" x14ac:dyDescent="0.2"/>
  <cols>
    <col min="1" max="1" width="6.7109375" style="10" bestFit="1" customWidth="1"/>
    <col min="2" max="2" width="12.140625" style="10" customWidth="1"/>
    <col min="3" max="3" width="13" style="10" customWidth="1"/>
    <col min="4" max="4" width="16.42578125" style="10" customWidth="1"/>
    <col min="5" max="5" width="14.42578125" style="10" customWidth="1"/>
    <col min="6" max="6" width="16" style="10" customWidth="1"/>
    <col min="7" max="7" width="7.85546875" style="43" customWidth="1"/>
    <col min="8" max="8" width="12.5703125" style="10" customWidth="1"/>
    <col min="9" max="9" width="12.28515625" style="10" customWidth="1"/>
    <col min="10" max="10" width="10.42578125" style="10" customWidth="1"/>
    <col min="11" max="16384" width="9.140625" style="10"/>
  </cols>
  <sheetData>
    <row r="1" spans="1:10" x14ac:dyDescent="0.2">
      <c r="A1" s="130"/>
      <c r="B1" s="130"/>
      <c r="C1" s="130"/>
      <c r="D1" s="130"/>
      <c r="E1" s="130"/>
      <c r="F1" s="130"/>
      <c r="G1" s="155"/>
    </row>
    <row r="2" spans="1:10" ht="15.75" x14ac:dyDescent="0.25">
      <c r="A2" s="130"/>
      <c r="B2" s="146" t="s">
        <v>66</v>
      </c>
      <c r="C2" s="130"/>
      <c r="D2" s="130"/>
      <c r="E2" s="130"/>
      <c r="F2" s="130"/>
      <c r="G2" s="155"/>
    </row>
    <row r="3" spans="1:10" ht="38.25" x14ac:dyDescent="0.2">
      <c r="A3" s="130"/>
      <c r="B3" s="142" t="s">
        <v>153</v>
      </c>
      <c r="C3" s="142" t="s">
        <v>76</v>
      </c>
      <c r="D3" s="142" t="s">
        <v>130</v>
      </c>
      <c r="E3" s="142" t="s">
        <v>129</v>
      </c>
      <c r="F3" s="142" t="s">
        <v>9</v>
      </c>
      <c r="G3" s="156"/>
      <c r="H3" s="142" t="s">
        <v>148</v>
      </c>
      <c r="I3" s="142" t="s">
        <v>149</v>
      </c>
      <c r="J3" s="142" t="s">
        <v>9</v>
      </c>
    </row>
    <row r="4" spans="1:10" ht="14.25" x14ac:dyDescent="0.25">
      <c r="A4" s="49" t="s">
        <v>13</v>
      </c>
      <c r="B4" s="145">
        <v>2700</v>
      </c>
      <c r="C4" s="50">
        <f>IF(B4&gt;0,1/B4,0)</f>
        <v>3.7037037037037035E-4</v>
      </c>
      <c r="D4" s="50">
        <f>IF(SUM(C4:C5)&gt;0,1/SUM(C4:C5),0)</f>
        <v>729.7297297297298</v>
      </c>
      <c r="E4" s="160"/>
      <c r="F4" s="153">
        <f>IF(D4&gt;0,(E4-D4)/D4,0)</f>
        <v>-1</v>
      </c>
      <c r="G4" s="158" t="s">
        <v>150</v>
      </c>
      <c r="H4" s="50">
        <f>IF(B4&gt;0,B6/B4,0)</f>
        <v>3.7037037037037038E-3</v>
      </c>
      <c r="I4" s="145"/>
      <c r="J4" s="153">
        <f>IF(H4&gt;0,(I4-H4)/H4,0)</f>
        <v>-1</v>
      </c>
    </row>
    <row r="5" spans="1:10" ht="14.25" x14ac:dyDescent="0.25">
      <c r="A5" s="49" t="s">
        <v>14</v>
      </c>
      <c r="B5" s="145">
        <v>1000</v>
      </c>
      <c r="C5" s="50">
        <f>IF(B5&gt;0,1/B5,0)</f>
        <v>1E-3</v>
      </c>
      <c r="D5" s="133"/>
      <c r="E5" s="130"/>
      <c r="F5" s="130"/>
      <c r="G5" s="42" t="s">
        <v>151</v>
      </c>
      <c r="H5" s="50">
        <f>IF(B5&gt;0,B6/B5,0)</f>
        <v>0.01</v>
      </c>
      <c r="I5" s="145"/>
      <c r="J5" s="153">
        <f>IF(H5&gt;0,(I5-H5)/H5,0)</f>
        <v>-1</v>
      </c>
    </row>
    <row r="6" spans="1:10" ht="14.25" x14ac:dyDescent="0.25">
      <c r="A6" s="49" t="s">
        <v>147</v>
      </c>
      <c r="B6" s="145">
        <v>10</v>
      </c>
      <c r="C6" s="154"/>
      <c r="D6" s="133"/>
      <c r="E6" s="130"/>
      <c r="F6" s="130"/>
      <c r="G6" s="42" t="s">
        <v>152</v>
      </c>
      <c r="H6" s="50">
        <f>IF(D4&gt;0,B6/D4,0)</f>
        <v>1.3703703703703702E-2</v>
      </c>
      <c r="I6" s="145"/>
      <c r="J6" s="153">
        <f>IF(H6&gt;0,(I6-H6)/H6,0)</f>
        <v>-1</v>
      </c>
    </row>
    <row r="7" spans="1:10" x14ac:dyDescent="0.2">
      <c r="A7" s="49"/>
      <c r="B7" s="152"/>
      <c r="C7" s="154"/>
      <c r="D7" s="133"/>
      <c r="E7" s="130"/>
      <c r="F7" s="130"/>
      <c r="G7" s="155"/>
    </row>
    <row r="8" spans="1:10" ht="15.75" x14ac:dyDescent="0.25">
      <c r="A8" s="130"/>
      <c r="B8" s="146" t="s">
        <v>67</v>
      </c>
      <c r="C8" s="130"/>
      <c r="D8" s="130"/>
      <c r="E8" s="130"/>
      <c r="F8" s="130"/>
      <c r="G8" s="155"/>
    </row>
    <row r="9" spans="1:10" ht="38.25" x14ac:dyDescent="0.2">
      <c r="A9" s="130"/>
      <c r="B9" s="142" t="s">
        <v>153</v>
      </c>
      <c r="C9" s="142" t="s">
        <v>76</v>
      </c>
      <c r="D9" s="142" t="s">
        <v>130</v>
      </c>
      <c r="E9" s="142" t="s">
        <v>129</v>
      </c>
      <c r="F9" s="142" t="s">
        <v>9</v>
      </c>
      <c r="G9" s="156"/>
      <c r="H9" s="142" t="s">
        <v>148</v>
      </c>
      <c r="I9" s="142" t="s">
        <v>149</v>
      </c>
      <c r="J9" s="142" t="s">
        <v>9</v>
      </c>
    </row>
    <row r="10" spans="1:10" ht="14.25" x14ac:dyDescent="0.25">
      <c r="A10" s="49" t="s">
        <v>13</v>
      </c>
      <c r="B10" s="145">
        <v>2700</v>
      </c>
      <c r="C10" s="50">
        <f>IF(B10&gt;0,1/B10,0)</f>
        <v>3.7037037037037035E-4</v>
      </c>
      <c r="D10" s="50">
        <f>IF(SUM(C10:C12)&gt;0,1/SUM(C10:C12),0)</f>
        <v>606.74157303370782</v>
      </c>
      <c r="E10" s="160"/>
      <c r="F10" s="153">
        <f>IF(D10&gt;0,(E10-D10)/D10,0)</f>
        <v>-1</v>
      </c>
      <c r="G10" s="42" t="s">
        <v>152</v>
      </c>
      <c r="H10" s="50">
        <f>IF(D10&gt;0,B13/D10,0)</f>
        <v>1.6481481481481482E-2</v>
      </c>
      <c r="I10" s="145"/>
      <c r="J10" s="153">
        <f>IF(H10&gt;0,(I10-H10)/H10,0)</f>
        <v>-1</v>
      </c>
    </row>
    <row r="11" spans="1:10" x14ac:dyDescent="0.2">
      <c r="A11" s="49" t="s">
        <v>14</v>
      </c>
      <c r="B11" s="145">
        <v>1000</v>
      </c>
      <c r="C11" s="50">
        <f>IF(B11&gt;0,1/B11,0)</f>
        <v>1E-3</v>
      </c>
      <c r="D11" s="133"/>
      <c r="E11" s="130"/>
      <c r="F11" s="130"/>
      <c r="G11" s="42"/>
      <c r="H11" s="154"/>
      <c r="I11" s="152"/>
      <c r="J11" s="157"/>
    </row>
    <row r="12" spans="1:10" x14ac:dyDescent="0.2">
      <c r="A12" s="49" t="s">
        <v>15</v>
      </c>
      <c r="B12" s="145">
        <v>3600</v>
      </c>
      <c r="C12" s="50">
        <f>IF(B12&gt;0,1/B12,0)</f>
        <v>2.7777777777777778E-4</v>
      </c>
      <c r="D12" s="133"/>
      <c r="E12" s="130"/>
      <c r="F12" s="130"/>
      <c r="G12" s="42"/>
      <c r="H12" s="154"/>
      <c r="I12" s="152"/>
      <c r="J12" s="157"/>
    </row>
    <row r="13" spans="1:10" ht="14.25" x14ac:dyDescent="0.25">
      <c r="A13" s="49" t="s">
        <v>147</v>
      </c>
      <c r="B13" s="145">
        <v>10</v>
      </c>
      <c r="C13" s="130"/>
      <c r="D13" s="130"/>
      <c r="E13" s="130"/>
      <c r="F13" s="130"/>
      <c r="G13" s="10"/>
    </row>
    <row r="14" spans="1:10" x14ac:dyDescent="0.2">
      <c r="A14" s="130"/>
      <c r="B14" s="130"/>
      <c r="C14" s="130"/>
      <c r="D14" s="130"/>
      <c r="E14" s="130"/>
      <c r="F14" s="130"/>
      <c r="G14" s="42"/>
      <c r="H14" s="154"/>
      <c r="I14" s="152"/>
      <c r="J14" s="157"/>
    </row>
    <row r="15" spans="1:10" ht="15.75" x14ac:dyDescent="0.25">
      <c r="A15" s="130"/>
      <c r="B15" s="146" t="s">
        <v>106</v>
      </c>
      <c r="C15" s="130"/>
      <c r="D15" s="130"/>
      <c r="E15" s="130"/>
      <c r="F15" s="130"/>
      <c r="G15" s="155"/>
    </row>
    <row r="16" spans="1:10" ht="38.25" x14ac:dyDescent="0.2">
      <c r="A16" s="130"/>
      <c r="B16" s="142" t="s">
        <v>153</v>
      </c>
      <c r="C16" s="142" t="s">
        <v>76</v>
      </c>
      <c r="D16" s="142" t="s">
        <v>130</v>
      </c>
      <c r="E16" s="142" t="s">
        <v>129</v>
      </c>
      <c r="F16" s="142" t="s">
        <v>9</v>
      </c>
      <c r="G16" s="156"/>
      <c r="H16" s="142" t="s">
        <v>148</v>
      </c>
      <c r="I16" s="142" t="s">
        <v>149</v>
      </c>
      <c r="J16" s="142" t="s">
        <v>9</v>
      </c>
    </row>
    <row r="17" spans="1:10" ht="14.25" x14ac:dyDescent="0.25">
      <c r="A17" s="49" t="s">
        <v>13</v>
      </c>
      <c r="B17" s="145">
        <v>2700</v>
      </c>
      <c r="C17" s="50">
        <f>IF(B17&gt;0,1/B17,0)</f>
        <v>3.7037037037037035E-4</v>
      </c>
      <c r="D17" s="50">
        <f>IF(SUM(C17:C20)&gt;0,1/SUM(C17:C20),0)</f>
        <v>525.05609573672405</v>
      </c>
      <c r="E17" s="160"/>
      <c r="F17" s="153">
        <f>IF(D17&gt;0,(E17-D17)/D17,0)</f>
        <v>-1</v>
      </c>
      <c r="G17" s="42" t="s">
        <v>152</v>
      </c>
      <c r="H17" s="50">
        <f>IF(D17&gt;0,B21/D17,0)</f>
        <v>1.9045584045584044E-2</v>
      </c>
      <c r="I17" s="145"/>
      <c r="J17" s="153">
        <f>IF(H17&gt;0,(I17-H17)/H17,0)</f>
        <v>-1</v>
      </c>
    </row>
    <row r="18" spans="1:10" x14ac:dyDescent="0.2">
      <c r="A18" s="49" t="s">
        <v>14</v>
      </c>
      <c r="B18" s="145">
        <v>1000</v>
      </c>
      <c r="C18" s="50">
        <f>IF(B18&gt;0,1/B18,0)</f>
        <v>1E-3</v>
      </c>
      <c r="D18" s="133"/>
      <c r="E18" s="130"/>
      <c r="F18" s="130"/>
      <c r="G18" s="42"/>
      <c r="H18" s="154"/>
      <c r="I18" s="152"/>
      <c r="J18" s="157"/>
    </row>
    <row r="19" spans="1:10" x14ac:dyDescent="0.2">
      <c r="A19" s="49" t="s">
        <v>15</v>
      </c>
      <c r="B19" s="145">
        <v>3600</v>
      </c>
      <c r="C19" s="50">
        <f>IF(B19&gt;0,1/B19,0)</f>
        <v>2.7777777777777778E-4</v>
      </c>
      <c r="D19" s="133"/>
      <c r="E19" s="130"/>
      <c r="F19" s="130"/>
      <c r="G19" s="42"/>
      <c r="H19" s="154"/>
      <c r="I19" s="152"/>
      <c r="J19" s="157"/>
    </row>
    <row r="20" spans="1:10" x14ac:dyDescent="0.2">
      <c r="A20" s="49" t="s">
        <v>75</v>
      </c>
      <c r="B20" s="145">
        <v>3900</v>
      </c>
      <c r="C20" s="50">
        <f>IF(B20&gt;0,1/B20,0)</f>
        <v>2.5641025641025641E-4</v>
      </c>
      <c r="D20" s="130"/>
      <c r="E20" s="130"/>
      <c r="F20" s="130"/>
      <c r="G20" s="42"/>
      <c r="H20" s="154"/>
      <c r="I20" s="152"/>
      <c r="J20" s="157"/>
    </row>
    <row r="21" spans="1:10" ht="14.25" x14ac:dyDescent="0.25">
      <c r="A21" s="49" t="s">
        <v>147</v>
      </c>
      <c r="B21" s="145">
        <v>10</v>
      </c>
      <c r="G21" s="10"/>
    </row>
  </sheetData>
  <sheetProtection sheet="1" objects="1" scenarios="1"/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"/>
  <sheetViews>
    <sheetView zoomScale="115" zoomScaleNormal="115" workbookViewId="0">
      <selection activeCell="I20" sqref="I20"/>
    </sheetView>
  </sheetViews>
  <sheetFormatPr defaultRowHeight="12.75" x14ac:dyDescent="0.2"/>
  <cols>
    <col min="1" max="1" width="6.7109375" style="10" bestFit="1" customWidth="1"/>
    <col min="2" max="2" width="12.140625" style="10" customWidth="1"/>
    <col min="3" max="3" width="13" style="10" customWidth="1"/>
    <col min="4" max="4" width="15.7109375" style="10" customWidth="1"/>
    <col min="5" max="5" width="15.28515625" style="10" customWidth="1"/>
    <col min="6" max="6" width="16" style="10" customWidth="1"/>
    <col min="7" max="7" width="16.85546875" style="10" customWidth="1"/>
    <col min="8" max="8" width="15.28515625" style="10" customWidth="1"/>
    <col min="9" max="9" width="9.28515625" style="10" bestFit="1" customWidth="1"/>
    <col min="10" max="10" width="9.28515625" style="10" customWidth="1"/>
    <col min="11" max="11" width="12" style="10" bestFit="1" customWidth="1"/>
    <col min="12" max="12" width="10.5703125" style="10" customWidth="1"/>
    <col min="13" max="13" width="9.42578125" style="10" bestFit="1" customWidth="1"/>
    <col min="14" max="16384" width="9.140625" style="10"/>
  </cols>
  <sheetData>
    <row r="1" spans="1:13" x14ac:dyDescent="0.2">
      <c r="A1" s="49"/>
      <c r="B1" s="130"/>
      <c r="C1" s="130"/>
      <c r="D1" s="130"/>
      <c r="E1" s="130"/>
      <c r="F1" s="130"/>
    </row>
    <row r="2" spans="1:13" ht="15.75" x14ac:dyDescent="0.25">
      <c r="A2" s="130"/>
      <c r="B2" s="146" t="s">
        <v>66</v>
      </c>
      <c r="C2" s="130"/>
      <c r="D2" s="130"/>
      <c r="E2" s="130"/>
      <c r="F2" s="130"/>
    </row>
    <row r="3" spans="1:13" ht="41.25" customHeight="1" x14ac:dyDescent="0.2">
      <c r="A3" s="130"/>
      <c r="B3" s="142" t="s">
        <v>141</v>
      </c>
      <c r="C3" s="130"/>
      <c r="D3" s="142" t="s">
        <v>145</v>
      </c>
      <c r="E3" s="142" t="s">
        <v>144</v>
      </c>
      <c r="F3" s="142" t="s">
        <v>176</v>
      </c>
      <c r="G3" s="142" t="s">
        <v>177</v>
      </c>
      <c r="H3" s="142" t="s">
        <v>178</v>
      </c>
      <c r="I3" s="142" t="s">
        <v>9</v>
      </c>
      <c r="K3" s="142" t="s">
        <v>148</v>
      </c>
      <c r="L3" s="142" t="s">
        <v>149</v>
      </c>
      <c r="M3" s="142" t="s">
        <v>9</v>
      </c>
    </row>
    <row r="4" spans="1:13" ht="14.25" x14ac:dyDescent="0.25">
      <c r="A4" s="49" t="s">
        <v>13</v>
      </c>
      <c r="B4" s="145">
        <v>1000</v>
      </c>
      <c r="C4" s="143" t="s">
        <v>142</v>
      </c>
      <c r="D4" s="145">
        <v>5600</v>
      </c>
      <c r="E4" s="50">
        <f>IF(D4&gt;0,1/D4,0)</f>
        <v>1.7857142857142857E-4</v>
      </c>
      <c r="F4" s="50">
        <f>IF(SUM(E4:E5)&gt;0,1/SUM(E4:E5),0)</f>
        <v>1821.6867469879519</v>
      </c>
      <c r="G4" s="50">
        <f>F4+B4</f>
        <v>2821.6867469879517</v>
      </c>
      <c r="H4" s="145">
        <v>2830</v>
      </c>
      <c r="I4" s="144">
        <f>IF(G4&gt;0,(G4-H4)/G4,0)</f>
        <v>-2.9461998292058577E-3</v>
      </c>
      <c r="J4" s="163" t="s">
        <v>154</v>
      </c>
      <c r="K4" s="50">
        <f>IF(G4&gt;0,B5/G4,0)</f>
        <v>3.5439795046968404E-3</v>
      </c>
      <c r="L4" s="145">
        <v>3.5100000000000001E-3</v>
      </c>
      <c r="M4" s="144">
        <f>IF(K4&gt;0,(K4-L4)/K4,0)</f>
        <v>9.5879518072289026E-3</v>
      </c>
    </row>
    <row r="5" spans="1:13" ht="14.25" x14ac:dyDescent="0.25">
      <c r="A5" s="49" t="s">
        <v>147</v>
      </c>
      <c r="B5" s="145">
        <v>10</v>
      </c>
      <c r="C5" s="143" t="s">
        <v>143</v>
      </c>
      <c r="D5" s="145">
        <v>2700</v>
      </c>
      <c r="E5" s="50">
        <f>IF(D5&gt;0,1/D5,0)</f>
        <v>3.7037037037037035E-4</v>
      </c>
      <c r="F5" s="133"/>
      <c r="G5" s="130"/>
      <c r="H5" s="130"/>
      <c r="J5" s="163" t="s">
        <v>142</v>
      </c>
      <c r="K5" s="50">
        <f>IF(E4+E5&gt;0,K4*E4/(E4+E5),0)</f>
        <v>1.152860802732707E-3</v>
      </c>
      <c r="L5" s="145">
        <v>1.16E-3</v>
      </c>
      <c r="M5" s="144">
        <f t="shared" ref="M5:M6" si="0">IF(K5&gt;0,(K5-L5)/K5,0)</f>
        <v>-6.1925925925926419E-3</v>
      </c>
    </row>
    <row r="6" spans="1:13" s="43" customFormat="1" x14ac:dyDescent="0.2">
      <c r="C6" s="42"/>
      <c r="D6" s="152"/>
      <c r="E6" s="154"/>
      <c r="F6" s="161"/>
      <c r="G6" s="155"/>
      <c r="H6" s="155"/>
      <c r="J6" s="120" t="s">
        <v>143</v>
      </c>
      <c r="K6" s="50">
        <f>IF(E5+E4&gt;0,K4*E5/(E5+E4),0)</f>
        <v>2.3911187019641329E-3</v>
      </c>
      <c r="L6" s="145">
        <v>2.3999999999999998E-3</v>
      </c>
      <c r="M6" s="144">
        <f t="shared" si="0"/>
        <v>-3.7142857142857645E-3</v>
      </c>
    </row>
    <row r="7" spans="1:13" s="43" customFormat="1" x14ac:dyDescent="0.2">
      <c r="A7" s="159"/>
      <c r="B7" s="152"/>
      <c r="C7" s="42"/>
      <c r="D7" s="152"/>
      <c r="E7" s="154"/>
      <c r="F7" s="161"/>
      <c r="G7" s="155"/>
      <c r="H7" s="155"/>
      <c r="K7" s="162"/>
    </row>
    <row r="8" spans="1:13" x14ac:dyDescent="0.2">
      <c r="A8" s="49"/>
      <c r="B8" s="152"/>
      <c r="E8" s="133"/>
      <c r="F8" s="133"/>
      <c r="G8" s="130"/>
      <c r="H8" s="130"/>
    </row>
    <row r="9" spans="1:13" ht="15.75" x14ac:dyDescent="0.25">
      <c r="A9" s="130"/>
      <c r="B9" s="146" t="s">
        <v>67</v>
      </c>
      <c r="C9" s="130"/>
      <c r="D9" s="130"/>
      <c r="E9" s="130"/>
      <c r="F9" s="130"/>
    </row>
    <row r="10" spans="1:13" ht="38.25" x14ac:dyDescent="0.2">
      <c r="A10" s="130"/>
      <c r="B10" s="142" t="s">
        <v>146</v>
      </c>
      <c r="C10" s="130"/>
      <c r="D10" s="142" t="s">
        <v>145</v>
      </c>
      <c r="E10" s="142" t="s">
        <v>144</v>
      </c>
      <c r="F10" s="142" t="s">
        <v>176</v>
      </c>
      <c r="G10" s="142" t="s">
        <v>177</v>
      </c>
      <c r="H10" s="142" t="s">
        <v>178</v>
      </c>
      <c r="I10" s="142" t="s">
        <v>9</v>
      </c>
      <c r="K10" s="142" t="s">
        <v>148</v>
      </c>
      <c r="L10" s="142" t="s">
        <v>149</v>
      </c>
      <c r="M10" s="142" t="s">
        <v>9</v>
      </c>
    </row>
    <row r="11" spans="1:13" x14ac:dyDescent="0.2">
      <c r="A11" s="49" t="s">
        <v>13</v>
      </c>
      <c r="B11" s="145">
        <v>1000</v>
      </c>
      <c r="C11" s="143" t="s">
        <v>142</v>
      </c>
      <c r="D11" s="145">
        <v>8300</v>
      </c>
      <c r="E11" s="50">
        <f>IF(D11&gt;0,1/D11,0)</f>
        <v>1.2048192771084337E-4</v>
      </c>
      <c r="F11" s="50">
        <f>IF(SUM(E11:E12)&gt;0,1/SUM(E11:E12),0)</f>
        <v>3767.7631578947371</v>
      </c>
      <c r="G11" s="50">
        <f>F11+B11+B12</f>
        <v>6767.7631578947367</v>
      </c>
      <c r="H11" s="145">
        <v>6780</v>
      </c>
      <c r="I11" s="144">
        <f>IF(G11&gt;0,(G11-H11)/G11,0)</f>
        <v>-1.8081073199183719E-3</v>
      </c>
      <c r="J11" s="163" t="s">
        <v>13</v>
      </c>
      <c r="K11" s="50">
        <f>B13/G11</f>
        <v>1.4775930786429475E-3</v>
      </c>
      <c r="L11" s="145">
        <v>1.48E-3</v>
      </c>
      <c r="M11" s="144">
        <f>IF(K11&gt;0,(K11-L11)/K11,0)</f>
        <v>-1.6289473684209486E-3</v>
      </c>
    </row>
    <row r="12" spans="1:13" x14ac:dyDescent="0.2">
      <c r="A12" s="49" t="s">
        <v>140</v>
      </c>
      <c r="B12" s="145">
        <v>2000</v>
      </c>
      <c r="C12" s="143" t="s">
        <v>143</v>
      </c>
      <c r="D12" s="145">
        <v>6900</v>
      </c>
      <c r="E12" s="50">
        <f>IF(D12&gt;0,1/D12,0)</f>
        <v>1.4492753623188405E-4</v>
      </c>
      <c r="F12" s="133"/>
      <c r="G12" s="130"/>
      <c r="H12" s="130"/>
      <c r="J12" s="163" t="s">
        <v>140</v>
      </c>
      <c r="K12" s="50">
        <f>K11</f>
        <v>1.4775930786429475E-3</v>
      </c>
      <c r="L12" s="145"/>
      <c r="M12" s="144">
        <f t="shared" ref="M12:M13" si="1">IF(K12&gt;0,(K12-L12)/K12,0)</f>
        <v>1</v>
      </c>
    </row>
    <row r="13" spans="1:13" ht="14.25" x14ac:dyDescent="0.25">
      <c r="A13" s="49" t="s">
        <v>147</v>
      </c>
      <c r="B13" s="145">
        <v>10</v>
      </c>
      <c r="C13" s="130"/>
      <c r="D13" s="130"/>
      <c r="E13" s="130"/>
      <c r="F13" s="130"/>
      <c r="J13" s="163" t="s">
        <v>142</v>
      </c>
      <c r="K13" s="50">
        <f>IF(E11+E12&gt;0,K11*(E11/(E11+E12)),0)</f>
        <v>6.7074948964712742E-4</v>
      </c>
      <c r="L13" s="145"/>
      <c r="M13" s="144">
        <f t="shared" si="1"/>
        <v>1</v>
      </c>
    </row>
    <row r="14" spans="1:13" ht="15.75" x14ac:dyDescent="0.25">
      <c r="A14" s="130"/>
      <c r="B14" s="146"/>
      <c r="C14" s="130"/>
      <c r="D14" s="130"/>
      <c r="E14" s="130"/>
      <c r="F14" s="130"/>
      <c r="J14" s="163" t="s">
        <v>143</v>
      </c>
      <c r="K14" s="50">
        <f>IF(E12+E11&gt;0,K11*(E12/(E12+E11)),0)</f>
        <v>8.0684358899582001E-4</v>
      </c>
      <c r="L14" s="145"/>
      <c r="M14" s="144">
        <f t="shared" ref="M14" si="2">IF(K14&gt;0,(K14-L14)/K14,0)</f>
        <v>1</v>
      </c>
    </row>
    <row r="15" spans="1:13" ht="15.75" x14ac:dyDescent="0.25">
      <c r="B15" s="146" t="s">
        <v>106</v>
      </c>
      <c r="K15" s="83"/>
    </row>
    <row r="16" spans="1:13" ht="15.75" x14ac:dyDescent="0.25">
      <c r="B16" s="216" t="s">
        <v>183</v>
      </c>
      <c r="C16" s="217"/>
      <c r="E16" s="16"/>
      <c r="F16" s="216" t="s">
        <v>184</v>
      </c>
      <c r="G16" s="217"/>
      <c r="H16" s="187"/>
      <c r="K16" s="83"/>
    </row>
    <row r="17" spans="1:8" ht="31.5" x14ac:dyDescent="0.25">
      <c r="A17" s="163" t="s">
        <v>185</v>
      </c>
      <c r="B17" s="142">
        <v>1000</v>
      </c>
      <c r="C17" s="142">
        <v>470</v>
      </c>
      <c r="D17" s="187" t="s">
        <v>181</v>
      </c>
      <c r="E17" s="189" t="s">
        <v>182</v>
      </c>
      <c r="F17" s="142">
        <v>1000</v>
      </c>
      <c r="G17" s="142">
        <v>470</v>
      </c>
      <c r="H17" s="188" t="s">
        <v>185</v>
      </c>
    </row>
    <row r="18" spans="1:8" ht="14.25" x14ac:dyDescent="0.25">
      <c r="A18" s="163" t="s">
        <v>170</v>
      </c>
      <c r="B18" s="145">
        <v>6.87</v>
      </c>
      <c r="C18" s="145">
        <v>6.97</v>
      </c>
      <c r="D18" s="195">
        <f>(C18-B18)/B18</f>
        <v>1.4556040756914067E-2</v>
      </c>
      <c r="E18" s="196">
        <f>(G18-F18)/F18</f>
        <v>1.4556040756914031E-2</v>
      </c>
      <c r="F18" s="50">
        <f>B18/300</f>
        <v>2.29E-2</v>
      </c>
      <c r="G18" s="50">
        <f>C18/300</f>
        <v>2.3233333333333332E-2</v>
      </c>
      <c r="H18" s="188" t="s">
        <v>175</v>
      </c>
    </row>
    <row r="19" spans="1:8" ht="14.25" x14ac:dyDescent="0.25">
      <c r="A19" s="163" t="s">
        <v>171</v>
      </c>
      <c r="B19" s="145">
        <v>5.07</v>
      </c>
      <c r="C19" s="145">
        <v>5</v>
      </c>
      <c r="D19" s="195">
        <f>(B19-C19)/B19</f>
        <v>1.3806706114398477E-2</v>
      </c>
      <c r="E19" s="196">
        <f>(G19-F19)/F19</f>
        <v>1.0982836040119182</v>
      </c>
      <c r="F19" s="50">
        <f>B19/B17</f>
        <v>5.0699999999999999E-3</v>
      </c>
      <c r="G19" s="50">
        <f>C19/C17</f>
        <v>1.0638297872340425E-2</v>
      </c>
      <c r="H19" s="188" t="s">
        <v>151</v>
      </c>
    </row>
    <row r="20" spans="1:8" ht="14.25" x14ac:dyDescent="0.25">
      <c r="A20" s="163" t="s">
        <v>172</v>
      </c>
      <c r="B20" s="145">
        <v>5.07</v>
      </c>
      <c r="C20" s="145">
        <v>5</v>
      </c>
      <c r="D20" s="195">
        <f t="shared" ref="D20" si="3">(B20-C20)/B20</f>
        <v>1.3806706114398477E-2</v>
      </c>
      <c r="E20" s="196">
        <f>(F20-G20)/F20</f>
        <v>0.29360429270931537</v>
      </c>
      <c r="F20" s="50">
        <f>F18-F19</f>
        <v>1.7829999999999999E-2</v>
      </c>
      <c r="G20" s="50">
        <f>G18-G19</f>
        <v>1.2595035460992906E-2</v>
      </c>
      <c r="H20" s="188" t="s">
        <v>174</v>
      </c>
    </row>
    <row r="21" spans="1:8" ht="15.75" x14ac:dyDescent="0.3">
      <c r="A21" s="186" t="s">
        <v>173</v>
      </c>
      <c r="B21" s="50">
        <f>B18+B19</f>
        <v>11.940000000000001</v>
      </c>
      <c r="C21" s="50">
        <f>C18+C19</f>
        <v>11.969999999999999</v>
      </c>
      <c r="E21" s="16"/>
      <c r="F21" s="182">
        <f>F20+F19</f>
        <v>2.2899999999999997E-2</v>
      </c>
      <c r="G21" s="182">
        <f>G20+G19</f>
        <v>2.3233333333333332E-2</v>
      </c>
      <c r="H21" s="188" t="s">
        <v>180</v>
      </c>
    </row>
  </sheetData>
  <mergeCells count="2">
    <mergeCell ref="B16:C16"/>
    <mergeCell ref="F16:G16"/>
  </mergeCells>
  <pageMargins left="0.7" right="0.7" top="0.75" bottom="0.75" header="0.3" footer="0.3"/>
  <pageSetup scale="7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F44"/>
  <sheetViews>
    <sheetView zoomScale="115" zoomScaleNormal="115" workbookViewId="0">
      <selection activeCell="C12" sqref="C12"/>
    </sheetView>
  </sheetViews>
  <sheetFormatPr defaultRowHeight="12.75" x14ac:dyDescent="0.2"/>
  <cols>
    <col min="1" max="1" width="9.140625" style="51"/>
    <col min="2" max="2" width="13" style="51" customWidth="1"/>
    <col min="3" max="3" width="14" style="51" customWidth="1"/>
    <col min="4" max="4" width="12.42578125" style="51" customWidth="1"/>
    <col min="5" max="5" width="12.28515625" style="51" customWidth="1"/>
    <col min="6" max="6" width="12.140625" style="51" customWidth="1"/>
    <col min="7" max="16384" width="9.140625" style="51"/>
  </cols>
  <sheetData>
    <row r="1" spans="1:5" x14ac:dyDescent="0.2">
      <c r="A1" s="221" t="s">
        <v>0</v>
      </c>
      <c r="B1" s="221"/>
      <c r="C1" s="221"/>
    </row>
    <row r="2" spans="1:5" x14ac:dyDescent="0.2">
      <c r="A2" s="48"/>
      <c r="B2" s="219" t="s">
        <v>2</v>
      </c>
      <c r="C2" s="220"/>
    </row>
    <row r="3" spans="1:5" ht="51" x14ac:dyDescent="0.2">
      <c r="A3" s="149" t="s">
        <v>1</v>
      </c>
      <c r="B3" s="149" t="s">
        <v>3</v>
      </c>
      <c r="C3" s="149" t="s">
        <v>6</v>
      </c>
      <c r="D3" s="149" t="s">
        <v>139</v>
      </c>
      <c r="E3" s="149" t="s">
        <v>138</v>
      </c>
    </row>
    <row r="4" spans="1:5" x14ac:dyDescent="0.2">
      <c r="A4" s="149">
        <v>1</v>
      </c>
      <c r="B4" s="52" t="s">
        <v>4</v>
      </c>
      <c r="C4" s="148">
        <v>1.9590000000000001</v>
      </c>
      <c r="D4" s="218"/>
      <c r="E4" s="218"/>
    </row>
    <row r="5" spans="1:5" x14ac:dyDescent="0.2">
      <c r="A5" s="149">
        <v>2</v>
      </c>
      <c r="B5" s="53">
        <v>10000</v>
      </c>
      <c r="C5" s="148">
        <v>0.9</v>
      </c>
      <c r="D5" s="58">
        <f>IF(B5&gt;0,C5/B5,0)</f>
        <v>9.0000000000000006E-5</v>
      </c>
      <c r="E5" s="58">
        <f>IF(D5&gt;0,($C$4-C5)/D5,0)</f>
        <v>11766.666666666668</v>
      </c>
    </row>
    <row r="6" spans="1:5" x14ac:dyDescent="0.2">
      <c r="A6" s="149">
        <v>3</v>
      </c>
      <c r="B6" s="53">
        <v>6800</v>
      </c>
      <c r="C6" s="148">
        <v>0.98899999999999999</v>
      </c>
      <c r="D6" s="58">
        <f>IF(B6&gt;0,C6/B6,0)</f>
        <v>1.4544117647058823E-4</v>
      </c>
      <c r="E6" s="58">
        <f>IF(D6&gt;0,($C$4-C6)/D6,0)</f>
        <v>6669.3629929221443</v>
      </c>
    </row>
    <row r="7" spans="1:5" x14ac:dyDescent="0.2">
      <c r="A7" s="149">
        <v>4</v>
      </c>
      <c r="B7" s="53">
        <v>5200</v>
      </c>
      <c r="C7" s="148">
        <v>0.83</v>
      </c>
      <c r="D7" s="58">
        <f>IF(B7&gt;0,C7/B7,0)</f>
        <v>1.5961538461538462E-4</v>
      </c>
      <c r="E7" s="58">
        <f>IF(D7&gt;0,($C$4-C7)/D7,0)</f>
        <v>7073.2530120481924</v>
      </c>
    </row>
    <row r="8" spans="1:5" x14ac:dyDescent="0.2">
      <c r="A8" s="149">
        <v>5</v>
      </c>
      <c r="B8" s="53">
        <v>2400</v>
      </c>
      <c r="C8" s="148">
        <v>0.59499999999999997</v>
      </c>
      <c r="D8" s="58">
        <f>IF(B8&gt;0,C8/B8,0)</f>
        <v>2.4791666666666663E-4</v>
      </c>
      <c r="E8" s="58">
        <f>IF(D8&gt;0,($C$4-C8)/D8,0)</f>
        <v>5501.8487394957992</v>
      </c>
    </row>
    <row r="9" spans="1:5" x14ac:dyDescent="0.2">
      <c r="A9" s="149">
        <v>5</v>
      </c>
      <c r="B9" s="53">
        <v>1000</v>
      </c>
      <c r="C9" s="148">
        <v>0.34399999999999997</v>
      </c>
      <c r="D9" s="58">
        <f>IF(B9&gt;0,C9/B9,0)</f>
        <v>3.4399999999999996E-4</v>
      </c>
      <c r="E9" s="58">
        <f>IF(D9&gt;0,($C$4-C9)/D9,0)</f>
        <v>4694.7674418604665</v>
      </c>
    </row>
    <row r="10" spans="1:5" x14ac:dyDescent="0.2">
      <c r="A10" s="54"/>
      <c r="B10" s="55"/>
      <c r="C10" s="54"/>
      <c r="D10" s="151"/>
      <c r="E10" s="151"/>
    </row>
    <row r="11" spans="1:5" x14ac:dyDescent="0.2">
      <c r="D11" s="151"/>
      <c r="E11" s="151"/>
    </row>
    <row r="17" spans="1:6" x14ac:dyDescent="0.2">
      <c r="A17" s="221" t="s">
        <v>5</v>
      </c>
      <c r="B17" s="221"/>
      <c r="C17" s="221"/>
    </row>
    <row r="18" spans="1:6" x14ac:dyDescent="0.2">
      <c r="A18" s="48"/>
      <c r="B18" s="219" t="s">
        <v>2</v>
      </c>
      <c r="C18" s="220"/>
    </row>
    <row r="19" spans="1:6" ht="51" x14ac:dyDescent="0.2">
      <c r="A19" s="149" t="s">
        <v>1</v>
      </c>
      <c r="B19" s="149" t="s">
        <v>3</v>
      </c>
      <c r="C19" s="149" t="s">
        <v>6</v>
      </c>
      <c r="D19" s="149" t="s">
        <v>139</v>
      </c>
      <c r="E19" s="149" t="s">
        <v>138</v>
      </c>
    </row>
    <row r="20" spans="1:6" x14ac:dyDescent="0.2">
      <c r="A20" s="149">
        <v>1</v>
      </c>
      <c r="B20" s="52" t="s">
        <v>4</v>
      </c>
      <c r="C20" s="148">
        <v>3.1880000000000002</v>
      </c>
      <c r="D20" s="218"/>
      <c r="E20" s="218"/>
    </row>
    <row r="21" spans="1:6" x14ac:dyDescent="0.2">
      <c r="A21" s="149">
        <v>2</v>
      </c>
      <c r="B21" s="53">
        <v>5000</v>
      </c>
      <c r="C21" s="148">
        <v>3.18</v>
      </c>
      <c r="D21" s="58">
        <f>IF(B21&gt;0,C21/B21,0)</f>
        <v>6.3600000000000006E-4</v>
      </c>
      <c r="E21" s="58">
        <f t="shared" ref="E21:E27" si="0">IF(D21&gt;0,($C$20-C21)/D21,0)</f>
        <v>12.578616352201268</v>
      </c>
      <c r="F21" s="57"/>
    </row>
    <row r="22" spans="1:6" x14ac:dyDescent="0.2">
      <c r="A22" s="149">
        <v>3</v>
      </c>
      <c r="B22" s="53">
        <v>2400</v>
      </c>
      <c r="C22" s="148">
        <v>3.1709999999999998</v>
      </c>
      <c r="D22" s="58">
        <f t="shared" ref="D22:D26" si="1">IF(B22&gt;0,C22/B22,0)</f>
        <v>1.3212499999999999E-3</v>
      </c>
      <c r="E22" s="58">
        <f t="shared" si="0"/>
        <v>12.866603595080681</v>
      </c>
      <c r="F22" s="57"/>
    </row>
    <row r="23" spans="1:6" x14ac:dyDescent="0.2">
      <c r="A23" s="149">
        <v>4</v>
      </c>
      <c r="B23" s="53">
        <v>990</v>
      </c>
      <c r="C23" s="148">
        <v>3.1539999999999999</v>
      </c>
      <c r="D23" s="58">
        <f t="shared" si="1"/>
        <v>3.1858585858585858E-3</v>
      </c>
      <c r="E23" s="58">
        <f t="shared" si="0"/>
        <v>10.672162333544785</v>
      </c>
      <c r="F23" s="57"/>
    </row>
    <row r="24" spans="1:6" x14ac:dyDescent="0.2">
      <c r="A24" s="149">
        <v>5</v>
      </c>
      <c r="B24" s="53">
        <v>520</v>
      </c>
      <c r="C24" s="148">
        <v>3.141</v>
      </c>
      <c r="D24" s="58">
        <f t="shared" si="1"/>
        <v>6.040384615384615E-3</v>
      </c>
      <c r="E24" s="58">
        <f t="shared" si="0"/>
        <v>7.7809614772365743</v>
      </c>
      <c r="F24" s="57"/>
    </row>
    <row r="25" spans="1:6" x14ac:dyDescent="0.2">
      <c r="A25" s="149">
        <v>6</v>
      </c>
      <c r="B25" s="53">
        <v>240</v>
      </c>
      <c r="C25" s="148">
        <v>3.1240000000000001</v>
      </c>
      <c r="D25" s="58">
        <f t="shared" si="1"/>
        <v>1.3016666666666668E-2</v>
      </c>
      <c r="E25" s="58">
        <f t="shared" si="0"/>
        <v>4.9167733674775969</v>
      </c>
      <c r="F25" s="57"/>
    </row>
    <row r="26" spans="1:6" x14ac:dyDescent="0.2">
      <c r="A26" s="149">
        <v>7</v>
      </c>
      <c r="B26" s="53">
        <v>100</v>
      </c>
      <c r="C26" s="148">
        <v>3.1</v>
      </c>
      <c r="D26" s="58">
        <f t="shared" si="1"/>
        <v>3.1E-2</v>
      </c>
      <c r="E26" s="58">
        <f t="shared" si="0"/>
        <v>2.8387096774193572</v>
      </c>
      <c r="F26" s="57"/>
    </row>
    <row r="27" spans="1:6" x14ac:dyDescent="0.2">
      <c r="A27" s="149">
        <v>8</v>
      </c>
      <c r="B27" s="53">
        <v>68</v>
      </c>
      <c r="C27" s="148">
        <v>3.085</v>
      </c>
      <c r="D27" s="58">
        <f>IF(B27&gt;0,C27/B27,0)</f>
        <v>4.5367647058823526E-2</v>
      </c>
      <c r="E27" s="58">
        <f t="shared" si="0"/>
        <v>2.2703403565640241</v>
      </c>
      <c r="F27" s="57"/>
    </row>
    <row r="28" spans="1:6" x14ac:dyDescent="0.2">
      <c r="E28" s="57"/>
    </row>
    <row r="33" spans="1:5" x14ac:dyDescent="0.2">
      <c r="A33" s="221" t="s">
        <v>7</v>
      </c>
      <c r="B33" s="221"/>
      <c r="C33" s="221"/>
    </row>
    <row r="34" spans="1:5" x14ac:dyDescent="0.2">
      <c r="A34" s="48"/>
      <c r="B34" s="219" t="s">
        <v>2</v>
      </c>
      <c r="C34" s="220"/>
    </row>
    <row r="35" spans="1:5" ht="51" x14ac:dyDescent="0.2">
      <c r="A35" s="149" t="s">
        <v>1</v>
      </c>
      <c r="B35" s="149" t="s">
        <v>3</v>
      </c>
      <c r="C35" s="149" t="s">
        <v>6</v>
      </c>
      <c r="D35" s="149" t="s">
        <v>139</v>
      </c>
      <c r="E35" s="149" t="s">
        <v>138</v>
      </c>
    </row>
    <row r="36" spans="1:5" x14ac:dyDescent="0.2">
      <c r="A36" s="149">
        <v>1</v>
      </c>
      <c r="B36" s="48" t="s">
        <v>4</v>
      </c>
      <c r="C36" s="148">
        <v>1.5720000000000001</v>
      </c>
      <c r="D36" s="218"/>
      <c r="E36" s="218"/>
    </row>
    <row r="37" spans="1:5" x14ac:dyDescent="0.2">
      <c r="A37" s="149">
        <v>2</v>
      </c>
      <c r="B37" s="56">
        <v>815</v>
      </c>
      <c r="C37" s="148">
        <v>1.57</v>
      </c>
      <c r="D37" s="58">
        <f>IF(B37&gt;0,C37/B37,0)</f>
        <v>1.9263803680981595E-3</v>
      </c>
      <c r="E37" s="58">
        <f t="shared" ref="E37:E43" si="2">IF(D37&gt;0,($C$36-C37)/D37,0)</f>
        <v>1.038216560509555</v>
      </c>
    </row>
    <row r="38" spans="1:5" x14ac:dyDescent="0.2">
      <c r="A38" s="149">
        <v>3</v>
      </c>
      <c r="B38" s="56">
        <v>517</v>
      </c>
      <c r="C38" s="148">
        <v>1.5669999999999999</v>
      </c>
      <c r="D38" s="58">
        <f t="shared" ref="D38:D43" si="3">IF(B38&gt;0,C38/B38,0)</f>
        <v>3.0309477756286264E-3</v>
      </c>
      <c r="E38" s="58">
        <f t="shared" si="2"/>
        <v>1.6496490108487938</v>
      </c>
    </row>
    <row r="39" spans="1:5" x14ac:dyDescent="0.2">
      <c r="A39" s="149">
        <v>4</v>
      </c>
      <c r="B39" s="56">
        <v>298</v>
      </c>
      <c r="C39" s="148">
        <v>1.5</v>
      </c>
      <c r="D39" s="58">
        <f t="shared" si="3"/>
        <v>5.0335570469798654E-3</v>
      </c>
      <c r="E39" s="58">
        <f>IF(D39&gt;0,($C$36-C39)/D39,0)</f>
        <v>14.304000000000014</v>
      </c>
    </row>
    <row r="40" spans="1:5" x14ac:dyDescent="0.2">
      <c r="A40" s="149">
        <v>5</v>
      </c>
      <c r="B40" s="56">
        <v>149</v>
      </c>
      <c r="C40" s="148">
        <v>1.48</v>
      </c>
      <c r="D40" s="58">
        <f t="shared" si="3"/>
        <v>9.9328859060402678E-3</v>
      </c>
      <c r="E40" s="58">
        <f t="shared" si="2"/>
        <v>9.2621621621621717</v>
      </c>
    </row>
    <row r="41" spans="1:5" x14ac:dyDescent="0.2">
      <c r="A41" s="149">
        <v>6</v>
      </c>
      <c r="B41" s="56">
        <v>100</v>
      </c>
      <c r="C41" s="148">
        <v>1.4570000000000001</v>
      </c>
      <c r="D41" s="58">
        <f t="shared" si="3"/>
        <v>1.4570000000000001E-2</v>
      </c>
      <c r="E41" s="58">
        <f t="shared" si="2"/>
        <v>7.8929306794783791</v>
      </c>
    </row>
    <row r="42" spans="1:5" x14ac:dyDescent="0.2">
      <c r="A42" s="149">
        <v>7</v>
      </c>
      <c r="B42" s="56">
        <v>47</v>
      </c>
      <c r="C42" s="148">
        <v>1.43</v>
      </c>
      <c r="D42" s="58">
        <f t="shared" si="3"/>
        <v>3.0425531914893614E-2</v>
      </c>
      <c r="E42" s="58">
        <f t="shared" si="2"/>
        <v>4.6671328671328718</v>
      </c>
    </row>
    <row r="43" spans="1:5" x14ac:dyDescent="0.2">
      <c r="A43" s="149">
        <v>8</v>
      </c>
      <c r="B43" s="56">
        <v>10.5</v>
      </c>
      <c r="C43" s="148">
        <v>1.3979999999999999</v>
      </c>
      <c r="D43" s="58">
        <f t="shared" si="3"/>
        <v>0.13314285714285715</v>
      </c>
      <c r="E43" s="58">
        <f t="shared" si="2"/>
        <v>1.3068669527897008</v>
      </c>
    </row>
    <row r="44" spans="1:5" x14ac:dyDescent="0.2">
      <c r="B44" s="150"/>
      <c r="C44" s="151"/>
      <c r="D44" s="151"/>
      <c r="E44" s="181"/>
    </row>
  </sheetData>
  <sortState xmlns:xlrd2="http://schemas.microsoft.com/office/spreadsheetml/2017/richdata2" ref="B5:E9">
    <sortCondition ref="B21:B27"/>
  </sortState>
  <mergeCells count="9">
    <mergeCell ref="D4:E4"/>
    <mergeCell ref="B34:C34"/>
    <mergeCell ref="D20:E20"/>
    <mergeCell ref="D36:E36"/>
    <mergeCell ref="A1:C1"/>
    <mergeCell ref="A17:C17"/>
    <mergeCell ref="B2:C2"/>
    <mergeCell ref="B18:C18"/>
    <mergeCell ref="A33:C33"/>
  </mergeCells>
  <pageMargins left="0.7" right="0.7" top="0.75" bottom="0.75" header="0.3" footer="0.3"/>
  <pageSetup scale="48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G25"/>
  <sheetViews>
    <sheetView zoomScale="130" zoomScaleNormal="130" workbookViewId="0">
      <selection activeCell="F23" sqref="F23"/>
    </sheetView>
  </sheetViews>
  <sheetFormatPr defaultRowHeight="12.75" x14ac:dyDescent="0.2"/>
  <cols>
    <col min="1" max="1" width="2.7109375" style="10" customWidth="1"/>
    <col min="2" max="2" width="10.7109375" style="10" customWidth="1"/>
    <col min="3" max="3" width="9.5703125" style="10" customWidth="1"/>
    <col min="4" max="4" width="10.140625" style="10" bestFit="1" customWidth="1"/>
    <col min="5" max="5" width="11.140625" style="10" customWidth="1"/>
    <col min="6" max="6" width="9.85546875" style="10" customWidth="1"/>
    <col min="7" max="7" width="10" style="10" customWidth="1"/>
    <col min="8" max="16384" width="9.140625" style="10"/>
  </cols>
  <sheetData>
    <row r="2" spans="2:6" x14ac:dyDescent="0.2">
      <c r="B2" s="222" t="s">
        <v>36</v>
      </c>
      <c r="C2" s="223"/>
      <c r="D2" s="223"/>
      <c r="E2" s="223"/>
      <c r="F2" s="224"/>
    </row>
    <row r="3" spans="2:6" x14ac:dyDescent="0.2">
      <c r="B3" s="164" t="s">
        <v>38</v>
      </c>
      <c r="C3" s="165" t="s">
        <v>38</v>
      </c>
      <c r="D3" s="165" t="s">
        <v>39</v>
      </c>
      <c r="E3" s="165" t="s">
        <v>39</v>
      </c>
      <c r="F3" s="166" t="s">
        <v>39</v>
      </c>
    </row>
    <row r="4" spans="2:6" ht="14.25" x14ac:dyDescent="0.25">
      <c r="B4" s="167" t="s">
        <v>155</v>
      </c>
      <c r="C4" s="168" t="s">
        <v>156</v>
      </c>
      <c r="D4" s="168" t="s">
        <v>157</v>
      </c>
      <c r="E4" s="168" t="s">
        <v>158</v>
      </c>
      <c r="F4" s="169" t="s">
        <v>159</v>
      </c>
    </row>
    <row r="5" spans="2:6" x14ac:dyDescent="0.2">
      <c r="B5" s="70">
        <f>(D5*F5)/E5</f>
        <v>102.94117647058823</v>
      </c>
      <c r="C5" s="71">
        <f>F5/B5</f>
        <v>0.24285714285714285</v>
      </c>
      <c r="D5" s="60">
        <v>14</v>
      </c>
      <c r="E5" s="61">
        <v>3.4</v>
      </c>
      <c r="F5" s="62">
        <v>25</v>
      </c>
    </row>
    <row r="7" spans="2:6" x14ac:dyDescent="0.2">
      <c r="B7" s="222" t="s">
        <v>37</v>
      </c>
      <c r="C7" s="223"/>
      <c r="D7" s="223"/>
      <c r="E7" s="223"/>
      <c r="F7" s="224"/>
    </row>
    <row r="8" spans="2:6" x14ac:dyDescent="0.2">
      <c r="B8" s="164" t="s">
        <v>38</v>
      </c>
      <c r="C8" s="165" t="s">
        <v>40</v>
      </c>
      <c r="D8" s="165" t="s">
        <v>40</v>
      </c>
      <c r="E8" s="165" t="s">
        <v>38</v>
      </c>
      <c r="F8" s="166" t="s">
        <v>38</v>
      </c>
    </row>
    <row r="9" spans="2:6" ht="14.25" x14ac:dyDescent="0.25">
      <c r="B9" s="167" t="s">
        <v>155</v>
      </c>
      <c r="C9" s="168" t="s">
        <v>156</v>
      </c>
      <c r="D9" s="168" t="s">
        <v>160</v>
      </c>
      <c r="E9" s="168" t="s">
        <v>161</v>
      </c>
      <c r="F9" s="169" t="s">
        <v>162</v>
      </c>
    </row>
    <row r="10" spans="2:6" x14ac:dyDescent="0.2">
      <c r="B10" s="70">
        <f>B5</f>
        <v>102.94117647058823</v>
      </c>
      <c r="C10" s="61">
        <v>1.1000000000000001</v>
      </c>
      <c r="D10" s="61">
        <v>0.25</v>
      </c>
      <c r="E10" s="72">
        <f>B10*C10</f>
        <v>113.23529411764706</v>
      </c>
      <c r="F10" s="73">
        <f>B10*D10</f>
        <v>25.735294117647058</v>
      </c>
    </row>
    <row r="11" spans="2:6" x14ac:dyDescent="0.2">
      <c r="B11" s="16"/>
      <c r="C11" s="17"/>
      <c r="D11" s="17"/>
      <c r="E11" s="17"/>
      <c r="F11" s="18"/>
    </row>
    <row r="12" spans="2:6" ht="14.25" x14ac:dyDescent="0.25">
      <c r="B12" s="16"/>
      <c r="C12" s="168" t="s">
        <v>163</v>
      </c>
      <c r="D12" s="168" t="s">
        <v>164</v>
      </c>
      <c r="E12" s="17"/>
      <c r="F12" s="18"/>
    </row>
    <row r="13" spans="2:6" x14ac:dyDescent="0.2">
      <c r="B13" s="172" t="s">
        <v>38</v>
      </c>
      <c r="C13" s="74">
        <f>(D5*E10)/B10</f>
        <v>15.4</v>
      </c>
      <c r="D13" s="75">
        <f>(D5*F10)/B10</f>
        <v>3.4999999999999996</v>
      </c>
      <c r="E13" s="17"/>
      <c r="F13" s="18"/>
    </row>
    <row r="14" spans="2:6" x14ac:dyDescent="0.2">
      <c r="B14" s="172" t="s">
        <v>39</v>
      </c>
      <c r="C14" s="19">
        <v>17.5</v>
      </c>
      <c r="D14" s="63">
        <v>3.4</v>
      </c>
      <c r="E14" s="17"/>
      <c r="F14" s="18"/>
    </row>
    <row r="15" spans="2:6" x14ac:dyDescent="0.2">
      <c r="B15" s="173" t="s">
        <v>9</v>
      </c>
      <c r="C15" s="76">
        <f>(C14-C13)/C13</f>
        <v>0.13636363636363633</v>
      </c>
      <c r="D15" s="76">
        <f>(D14-D13)/D13</f>
        <v>-2.8571428571428473E-2</v>
      </c>
      <c r="E15" s="27"/>
      <c r="F15" s="28"/>
    </row>
    <row r="17" spans="2:7" hidden="1" x14ac:dyDescent="0.2">
      <c r="B17" s="225" t="s">
        <v>95</v>
      </c>
      <c r="C17" s="225"/>
      <c r="D17" s="225"/>
      <c r="E17" s="225"/>
      <c r="F17" s="225"/>
    </row>
    <row r="18" spans="2:7" hidden="1" x14ac:dyDescent="0.2">
      <c r="B18" s="170"/>
      <c r="C18" s="171" t="s">
        <v>96</v>
      </c>
      <c r="D18" s="171" t="s">
        <v>97</v>
      </c>
      <c r="E18" s="168" t="s">
        <v>98</v>
      </c>
      <c r="F18" s="168"/>
    </row>
    <row r="19" spans="2:7" hidden="1" x14ac:dyDescent="0.2">
      <c r="B19" s="171" t="s">
        <v>66</v>
      </c>
      <c r="C19" s="19">
        <v>20.92</v>
      </c>
      <c r="D19" s="19">
        <v>21.4</v>
      </c>
      <c r="E19" s="77">
        <f>(D19-C19)/C19</f>
        <v>2.2944550669215909E-2</v>
      </c>
      <c r="F19" s="64"/>
    </row>
    <row r="20" spans="2:7" hidden="1" x14ac:dyDescent="0.2">
      <c r="B20" s="168" t="s">
        <v>67</v>
      </c>
      <c r="C20" s="19">
        <v>14.3</v>
      </c>
      <c r="D20" s="19">
        <v>14.05</v>
      </c>
      <c r="E20" s="77">
        <f>(D20-C20)/C20</f>
        <v>-1.748251748251748E-2</v>
      </c>
      <c r="F20" s="65"/>
    </row>
    <row r="21" spans="2:7" x14ac:dyDescent="0.2">
      <c r="B21" s="211" t="s">
        <v>194</v>
      </c>
      <c r="C21" s="226"/>
      <c r="D21" s="226"/>
      <c r="E21" s="226"/>
      <c r="F21" s="226"/>
    </row>
    <row r="22" spans="2:7" ht="25.5" x14ac:dyDescent="0.2">
      <c r="B22" s="200" t="s">
        <v>196</v>
      </c>
      <c r="C22" s="199" t="s">
        <v>195</v>
      </c>
      <c r="D22" s="201" t="s">
        <v>192</v>
      </c>
      <c r="E22" s="201" t="s">
        <v>193</v>
      </c>
      <c r="F22" s="199" t="s">
        <v>197</v>
      </c>
      <c r="G22" s="199" t="s">
        <v>198</v>
      </c>
    </row>
    <row r="23" spans="2:7" x14ac:dyDescent="0.2">
      <c r="B23" s="67">
        <f>1/C23</f>
        <v>0.5</v>
      </c>
      <c r="C23" s="10">
        <f>E23/D23</f>
        <v>2</v>
      </c>
      <c r="D23" s="66">
        <v>120</v>
      </c>
      <c r="E23" s="66">
        <v>240</v>
      </c>
      <c r="F23" s="10">
        <f>G23*B23</f>
        <v>0.05</v>
      </c>
      <c r="G23" s="10">
        <v>0.1</v>
      </c>
    </row>
    <row r="24" spans="2:7" x14ac:dyDescent="0.2">
      <c r="B24" s="67"/>
      <c r="C24" s="68"/>
      <c r="D24" s="68"/>
      <c r="E24" s="66"/>
      <c r="F24" s="66"/>
    </row>
    <row r="25" spans="2:7" x14ac:dyDescent="0.2">
      <c r="B25" s="67"/>
      <c r="C25" s="69"/>
      <c r="D25" s="69"/>
      <c r="E25" s="66"/>
      <c r="F25" s="66"/>
    </row>
  </sheetData>
  <mergeCells count="4">
    <mergeCell ref="B2:F2"/>
    <mergeCell ref="B7:F7"/>
    <mergeCell ref="B17:F17"/>
    <mergeCell ref="B21:F2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C10"/>
  <sheetViews>
    <sheetView zoomScale="145" zoomScaleNormal="145" workbookViewId="0">
      <selection activeCell="B3" sqref="B3"/>
    </sheetView>
  </sheetViews>
  <sheetFormatPr defaultRowHeight="12.75" x14ac:dyDescent="0.2"/>
  <cols>
    <col min="1" max="1" width="12" customWidth="1"/>
    <col min="2" max="2" width="11.85546875" customWidth="1"/>
    <col min="3" max="3" width="12.7109375" customWidth="1"/>
  </cols>
  <sheetData>
    <row r="1" spans="1:3" x14ac:dyDescent="0.2">
      <c r="A1" s="217" t="s">
        <v>42</v>
      </c>
      <c r="B1" s="217"/>
    </row>
    <row r="2" spans="1:3" ht="29.25" customHeight="1" x14ac:dyDescent="0.25">
      <c r="A2" s="1" t="s">
        <v>41</v>
      </c>
      <c r="B2" s="5" t="s">
        <v>79</v>
      </c>
      <c r="C2" s="6" t="s">
        <v>80</v>
      </c>
    </row>
    <row r="3" spans="1:3" x14ac:dyDescent="0.2">
      <c r="A3" s="2">
        <v>5</v>
      </c>
      <c r="B3" s="3">
        <v>2.3199999999999998</v>
      </c>
      <c r="C3" s="7">
        <v>6.6</v>
      </c>
    </row>
    <row r="4" spans="1:3" x14ac:dyDescent="0.2">
      <c r="A4" s="2">
        <v>10</v>
      </c>
      <c r="B4" s="3">
        <v>4.34</v>
      </c>
      <c r="C4" s="7">
        <v>4.7699999999999996</v>
      </c>
    </row>
    <row r="5" spans="1:3" x14ac:dyDescent="0.2">
      <c r="A5" s="2">
        <v>15</v>
      </c>
      <c r="B5" s="3">
        <v>5.86</v>
      </c>
      <c r="C5" s="7">
        <v>3.08</v>
      </c>
    </row>
    <row r="6" spans="1:3" x14ac:dyDescent="0.2">
      <c r="A6" s="2">
        <v>30</v>
      </c>
      <c r="B6" s="3">
        <v>7.82</v>
      </c>
      <c r="C6" s="7">
        <v>1.1299999999999999</v>
      </c>
    </row>
    <row r="7" spans="1:3" x14ac:dyDescent="0.2">
      <c r="A7" s="2">
        <v>45</v>
      </c>
      <c r="B7" s="3">
        <v>8.44</v>
      </c>
      <c r="C7" s="7">
        <v>0.4</v>
      </c>
    </row>
    <row r="8" spans="1:3" x14ac:dyDescent="0.2">
      <c r="A8" s="2">
        <v>60</v>
      </c>
      <c r="B8" s="3">
        <v>8.67</v>
      </c>
      <c r="C8" s="7">
        <v>0.15</v>
      </c>
    </row>
    <row r="9" spans="1:3" x14ac:dyDescent="0.2">
      <c r="A9" s="2">
        <v>90</v>
      </c>
      <c r="B9" s="3">
        <v>8.82</v>
      </c>
      <c r="C9" s="7">
        <v>0.03</v>
      </c>
    </row>
    <row r="10" spans="1:3" x14ac:dyDescent="0.2">
      <c r="A10" s="2">
        <v>120</v>
      </c>
      <c r="B10" s="3">
        <v>8.86</v>
      </c>
      <c r="C10" s="7">
        <v>0.01</v>
      </c>
    </row>
  </sheetData>
  <mergeCells count="1">
    <mergeCell ref="A1:B1"/>
  </mergeCells>
  <pageMargins left="0.7" right="0.7" top="0.75" bottom="0.75" header="0.3" footer="0.3"/>
  <pageSetup scale="96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"/>
  <sheetViews>
    <sheetView zoomScale="115" zoomScaleNormal="115" workbookViewId="0">
      <selection activeCell="V31" sqref="V31"/>
    </sheetView>
  </sheetViews>
  <sheetFormatPr defaultRowHeight="12.75" x14ac:dyDescent="0.2"/>
  <cols>
    <col min="1" max="3" width="14.42578125" customWidth="1"/>
    <col min="4" max="4" width="17" style="192" customWidth="1"/>
    <col min="5" max="5" width="15.140625" customWidth="1"/>
    <col min="6" max="6" width="14" customWidth="1"/>
  </cols>
  <sheetData>
    <row r="1" spans="1:6" ht="15.75" x14ac:dyDescent="0.25">
      <c r="A1" s="198" t="s">
        <v>66</v>
      </c>
    </row>
    <row r="2" spans="1:6" x14ac:dyDescent="0.2">
      <c r="A2" s="4"/>
      <c r="E2" s="202"/>
    </row>
    <row r="3" spans="1:6" x14ac:dyDescent="0.2">
      <c r="A3" s="4" t="s">
        <v>186</v>
      </c>
      <c r="B3" s="3">
        <v>5.11E-2</v>
      </c>
      <c r="C3" s="3"/>
    </row>
    <row r="4" spans="1:6" ht="25.5" x14ac:dyDescent="0.2">
      <c r="A4" s="191" t="s">
        <v>102</v>
      </c>
      <c r="B4" s="191" t="s">
        <v>187</v>
      </c>
      <c r="C4" s="191" t="s">
        <v>199</v>
      </c>
      <c r="D4" s="194" t="s">
        <v>189</v>
      </c>
      <c r="E4" s="194" t="s">
        <v>190</v>
      </c>
      <c r="F4" s="194" t="s">
        <v>191</v>
      </c>
    </row>
    <row r="5" spans="1:6" x14ac:dyDescent="0.2">
      <c r="A5" s="190">
        <v>10780</v>
      </c>
      <c r="B5" s="3">
        <v>1.0200000000000001E-3</v>
      </c>
      <c r="C5" s="3">
        <v>6.62</v>
      </c>
      <c r="D5" s="193">
        <f>2*PI()*A5*$B$3</f>
        <v>3461.142891942332</v>
      </c>
      <c r="E5" s="193">
        <f>C5/B5</f>
        <v>6490.1960784313724</v>
      </c>
      <c r="F5" s="197">
        <f>(E5-D5)/D5</f>
        <v>0.87515981889704342</v>
      </c>
    </row>
    <row r="6" spans="1:6" x14ac:dyDescent="0.2">
      <c r="A6" s="190">
        <v>8818</v>
      </c>
      <c r="B6" s="3">
        <v>1.57E-3</v>
      </c>
      <c r="C6" s="3">
        <v>6.53</v>
      </c>
      <c r="D6" s="193">
        <f t="shared" ref="D6:D12" si="0">2*PI()*A6*$B$3</f>
        <v>2831.2020427780599</v>
      </c>
      <c r="E6" s="193">
        <f t="shared" ref="E6:E12" si="1">C6/B6</f>
        <v>4159.2356687898091</v>
      </c>
      <c r="F6" s="197">
        <f t="shared" ref="F6:F12" si="2">(E6-D6)/D6</f>
        <v>0.46907059473178503</v>
      </c>
    </row>
    <row r="7" spans="1:6" x14ac:dyDescent="0.2">
      <c r="A7" s="190">
        <v>6127</v>
      </c>
      <c r="B7" s="3">
        <v>2.6800000000000001E-3</v>
      </c>
      <c r="C7" s="3">
        <v>6.28</v>
      </c>
      <c r="D7" s="193">
        <f t="shared" si="0"/>
        <v>1967.2006028692645</v>
      </c>
      <c r="E7" s="193">
        <f t="shared" si="1"/>
        <v>2343.2835820895521</v>
      </c>
      <c r="F7" s="197">
        <f t="shared" si="2"/>
        <v>0.19117673036077307</v>
      </c>
    </row>
    <row r="8" spans="1:6" x14ac:dyDescent="0.2">
      <c r="A8" s="190">
        <v>4579</v>
      </c>
      <c r="B8" s="3">
        <v>3.6900000000000001E-3</v>
      </c>
      <c r="C8" s="3">
        <v>6.12</v>
      </c>
      <c r="D8" s="193">
        <f t="shared" si="0"/>
        <v>1470.1830521524992</v>
      </c>
      <c r="E8" s="193">
        <f t="shared" si="1"/>
        <v>1658.5365853658536</v>
      </c>
      <c r="F8" s="197">
        <f t="shared" si="2"/>
        <v>0.1281157016043584</v>
      </c>
    </row>
    <row r="9" spans="1:6" x14ac:dyDescent="0.2">
      <c r="A9" s="190">
        <v>3501</v>
      </c>
      <c r="B9" s="3">
        <v>4.6600000000000001E-3</v>
      </c>
      <c r="C9" s="3">
        <v>5.69</v>
      </c>
      <c r="D9" s="193">
        <f t="shared" si="0"/>
        <v>1124.0687629582658</v>
      </c>
      <c r="E9" s="193">
        <f t="shared" si="1"/>
        <v>1221.0300429184549</v>
      </c>
      <c r="F9" s="197">
        <f t="shared" si="2"/>
        <v>8.6259206870059682E-2</v>
      </c>
    </row>
    <row r="10" spans="1:6" x14ac:dyDescent="0.2">
      <c r="A10" s="190">
        <v>2844</v>
      </c>
      <c r="B10" s="3">
        <v>5.4299999999999999E-3</v>
      </c>
      <c r="C10" s="3">
        <v>5.44</v>
      </c>
      <c r="D10" s="193">
        <f t="shared" si="0"/>
        <v>913.12526759591765</v>
      </c>
      <c r="E10" s="193">
        <f t="shared" si="1"/>
        <v>1001.8416206261511</v>
      </c>
      <c r="F10" s="197">
        <f t="shared" si="2"/>
        <v>9.7156826317824352E-2</v>
      </c>
    </row>
    <row r="11" spans="1:6" x14ac:dyDescent="0.2">
      <c r="A11" s="190">
        <v>1916</v>
      </c>
      <c r="B11" s="3">
        <v>6.7400000000000003E-3</v>
      </c>
      <c r="C11" s="3">
        <v>4.4800000000000004</v>
      </c>
      <c r="D11" s="193">
        <f t="shared" ref="D11" si="3">2*PI()*A11*$B$3</f>
        <v>615.17159378121607</v>
      </c>
      <c r="E11" s="193">
        <f t="shared" ref="E11" si="4">C11/B11</f>
        <v>664.68842729970333</v>
      </c>
      <c r="F11" s="197">
        <f t="shared" ref="F11" si="5">(E11-D11)/D11</f>
        <v>8.0492717835241548E-2</v>
      </c>
    </row>
    <row r="12" spans="1:6" x14ac:dyDescent="0.2">
      <c r="A12" s="190">
        <v>1190</v>
      </c>
      <c r="B12" s="3">
        <v>7.8700000000000003E-3</v>
      </c>
      <c r="C12" s="3">
        <v>3.29</v>
      </c>
      <c r="D12" s="193">
        <f t="shared" si="0"/>
        <v>382.07421534428346</v>
      </c>
      <c r="E12" s="193">
        <f t="shared" si="1"/>
        <v>418.04320203303683</v>
      </c>
      <c r="F12" s="197">
        <f t="shared" si="2"/>
        <v>9.4141361139332733E-2</v>
      </c>
    </row>
    <row r="17" spans="1:6" ht="15.75" x14ac:dyDescent="0.25">
      <c r="A17" s="198" t="s">
        <v>67</v>
      </c>
    </row>
    <row r="18" spans="1:6" x14ac:dyDescent="0.2">
      <c r="A18" s="4"/>
    </row>
    <row r="19" spans="1:6" x14ac:dyDescent="0.2">
      <c r="A19" s="4" t="s">
        <v>188</v>
      </c>
      <c r="B19" s="3">
        <v>3.3599999999999999E-7</v>
      </c>
      <c r="C19" s="3"/>
    </row>
    <row r="20" spans="1:6" ht="25.5" x14ac:dyDescent="0.2">
      <c r="A20" s="191" t="s">
        <v>102</v>
      </c>
      <c r="B20" s="191" t="s">
        <v>187</v>
      </c>
      <c r="C20" s="191" t="s">
        <v>199</v>
      </c>
      <c r="D20" s="194" t="s">
        <v>189</v>
      </c>
      <c r="E20" s="194" t="s">
        <v>190</v>
      </c>
      <c r="F20" s="194" t="s">
        <v>191</v>
      </c>
    </row>
    <row r="21" spans="1:6" x14ac:dyDescent="0.2">
      <c r="A21" s="190">
        <v>1099</v>
      </c>
      <c r="B21" s="3">
        <v>8.6099999999999996E-3</v>
      </c>
      <c r="C21" s="3">
        <v>3.81</v>
      </c>
      <c r="D21" s="193">
        <f>1/(2*PI()*A21*$B$19)</f>
        <v>431.00584701431859</v>
      </c>
      <c r="E21" s="193">
        <f>(C21*0.707)/B21</f>
        <v>312.85365853658539</v>
      </c>
      <c r="F21" s="197">
        <f>(E21-D21)/D21</f>
        <v>-0.27413128916046475</v>
      </c>
    </row>
    <row r="22" spans="1:6" x14ac:dyDescent="0.2">
      <c r="A22" s="190">
        <v>846</v>
      </c>
      <c r="B22" s="3">
        <v>7.79E-3</v>
      </c>
      <c r="C22" s="3">
        <v>4.45</v>
      </c>
      <c r="D22" s="193">
        <f t="shared" ref="D22:D28" si="6">1/(2*PI()*A22*$B$19)</f>
        <v>559.9000305777023</v>
      </c>
      <c r="E22" s="193">
        <f t="shared" ref="E22:E28" si="7">(C22*0.707)/B22</f>
        <v>403.87034659820284</v>
      </c>
      <c r="F22" s="197">
        <f t="shared" ref="F22:F28" si="8">(E22-D22)/D22</f>
        <v>-0.27867418370831082</v>
      </c>
    </row>
    <row r="23" spans="1:6" x14ac:dyDescent="0.2">
      <c r="A23" s="190">
        <v>688</v>
      </c>
      <c r="B23" s="3">
        <v>7.0299999999999998E-3</v>
      </c>
      <c r="C23" s="3">
        <v>4.9800000000000004</v>
      </c>
      <c r="D23" s="193">
        <f t="shared" si="6"/>
        <v>688.4817236464188</v>
      </c>
      <c r="E23" s="193">
        <f t="shared" si="7"/>
        <v>500.83357041251782</v>
      </c>
      <c r="F23" s="197">
        <f t="shared" si="8"/>
        <v>-0.27255357228664912</v>
      </c>
    </row>
    <row r="24" spans="1:6" x14ac:dyDescent="0.2">
      <c r="A24" s="190">
        <v>525</v>
      </c>
      <c r="B24" s="3">
        <v>5.96E-3</v>
      </c>
      <c r="C24" s="3">
        <v>5.4</v>
      </c>
      <c r="D24" s="193">
        <f t="shared" si="6"/>
        <v>902.23890641664036</v>
      </c>
      <c r="E24" s="193">
        <f t="shared" si="7"/>
        <v>640.57046979865777</v>
      </c>
      <c r="F24" s="197">
        <f t="shared" si="8"/>
        <v>-0.2900212291412182</v>
      </c>
    </row>
    <row r="25" spans="1:6" x14ac:dyDescent="0.2">
      <c r="A25" s="190">
        <v>413</v>
      </c>
      <c r="B25" s="3">
        <v>5.0600000000000003E-3</v>
      </c>
      <c r="C25" s="3">
        <v>5.73</v>
      </c>
      <c r="D25" s="193">
        <f t="shared" si="6"/>
        <v>1146.9138640889496</v>
      </c>
      <c r="E25" s="193">
        <f t="shared" si="7"/>
        <v>800.61462450592887</v>
      </c>
      <c r="F25" s="197">
        <f t="shared" si="8"/>
        <v>-0.3019400588187181</v>
      </c>
    </row>
    <row r="26" spans="1:6" x14ac:dyDescent="0.2">
      <c r="A26" s="190">
        <v>315</v>
      </c>
      <c r="B26" s="3">
        <v>4.0099999999999997E-3</v>
      </c>
      <c r="C26" s="3">
        <v>6.02</v>
      </c>
      <c r="D26" s="193">
        <f t="shared" si="6"/>
        <v>1503.7315106944004</v>
      </c>
      <c r="E26" s="193">
        <f t="shared" si="7"/>
        <v>1061.3815461346633</v>
      </c>
      <c r="F26" s="197">
        <f t="shared" si="8"/>
        <v>-0.29416818189536154</v>
      </c>
    </row>
    <row r="27" spans="1:6" x14ac:dyDescent="0.2">
      <c r="A27" s="190">
        <v>212</v>
      </c>
      <c r="B27" s="3">
        <v>2.82E-3</v>
      </c>
      <c r="C27" s="3">
        <v>6.26</v>
      </c>
      <c r="D27" s="193">
        <f t="shared" si="6"/>
        <v>2234.3180465506421</v>
      </c>
      <c r="E27" s="193">
        <f t="shared" si="7"/>
        <v>1569.4397163120566</v>
      </c>
      <c r="F27" s="197">
        <f t="shared" si="8"/>
        <v>-0.29757550912012276</v>
      </c>
    </row>
    <row r="28" spans="1:6" x14ac:dyDescent="0.2">
      <c r="A28" s="190">
        <v>110</v>
      </c>
      <c r="B28" s="3">
        <v>1.5200000000000001E-3</v>
      </c>
      <c r="C28" s="3">
        <v>6.47</v>
      </c>
      <c r="D28" s="193">
        <f t="shared" si="6"/>
        <v>4306.1402351703282</v>
      </c>
      <c r="E28" s="193">
        <f t="shared" si="7"/>
        <v>3009.4013157894733</v>
      </c>
      <c r="F28" s="197">
        <f t="shared" si="8"/>
        <v>-0.30113717820654362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54273" r:id="rId4">
          <objectPr defaultSize="0" r:id="rId5">
            <anchor moveWithCells="1">
              <from>
                <xdr:col>17</xdr:col>
                <xdr:colOff>38100</xdr:colOff>
                <xdr:row>7</xdr:row>
                <xdr:rowOff>28575</xdr:rowOff>
              </from>
              <to>
                <xdr:col>19</xdr:col>
                <xdr:colOff>133350</xdr:colOff>
                <xdr:row>9</xdr:row>
                <xdr:rowOff>66675</xdr:rowOff>
              </to>
            </anchor>
          </objectPr>
        </oleObject>
      </mc:Choice>
      <mc:Fallback>
        <oleObject progId="Equation.3" shapeId="54273" r:id="rId4"/>
      </mc:Fallback>
    </mc:AlternateContent>
    <mc:AlternateContent xmlns:mc="http://schemas.openxmlformats.org/markup-compatibility/2006">
      <mc:Choice Requires="x14">
        <oleObject progId="Equation.3" shapeId="54274" r:id="rId6">
          <objectPr defaultSize="0" autoPict="0" r:id="rId7">
            <anchor moveWithCells="1">
              <from>
                <xdr:col>17</xdr:col>
                <xdr:colOff>85725</xdr:colOff>
                <xdr:row>30</xdr:row>
                <xdr:rowOff>28575</xdr:rowOff>
              </from>
              <to>
                <xdr:col>19</xdr:col>
                <xdr:colOff>180975</xdr:colOff>
                <xdr:row>33</xdr:row>
                <xdr:rowOff>142875</xdr:rowOff>
              </to>
            </anchor>
          </objectPr>
        </oleObject>
      </mc:Choice>
      <mc:Fallback>
        <oleObject progId="Equation.3" shapeId="54274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7"/>
  <sheetViews>
    <sheetView zoomScale="115" zoomScaleNormal="115" workbookViewId="0">
      <selection activeCell="E24" sqref="E24"/>
    </sheetView>
  </sheetViews>
  <sheetFormatPr defaultRowHeight="12.75" x14ac:dyDescent="0.2"/>
  <cols>
    <col min="1" max="1" width="12.42578125" style="10" customWidth="1"/>
    <col min="2" max="2" width="15.42578125" style="10" customWidth="1"/>
    <col min="3" max="3" width="16.28515625" style="10" customWidth="1"/>
    <col min="4" max="4" width="16.85546875" style="10" customWidth="1"/>
    <col min="5" max="6" width="15.140625" style="10" customWidth="1"/>
    <col min="7" max="7" width="4.42578125" style="10" customWidth="1"/>
    <col min="8" max="8" width="14.28515625" style="10" customWidth="1"/>
    <col min="9" max="9" width="16.42578125" style="10" customWidth="1"/>
    <col min="10" max="10" width="17.5703125" style="10" customWidth="1"/>
    <col min="11" max="16384" width="9.140625" style="10"/>
  </cols>
  <sheetData>
    <row r="1" spans="1:10" ht="14.25" x14ac:dyDescent="0.25">
      <c r="B1" s="78" t="s">
        <v>107</v>
      </c>
      <c r="C1" s="79" t="s">
        <v>104</v>
      </c>
      <c r="D1" s="79" t="s">
        <v>102</v>
      </c>
      <c r="E1" s="79" t="s">
        <v>103</v>
      </c>
      <c r="F1" s="80" t="s">
        <v>108</v>
      </c>
      <c r="G1" s="59"/>
      <c r="H1" s="80" t="s">
        <v>100</v>
      </c>
      <c r="I1" s="80" t="s">
        <v>99</v>
      </c>
      <c r="J1" s="80" t="s">
        <v>101</v>
      </c>
    </row>
    <row r="2" spans="1:10" x14ac:dyDescent="0.2">
      <c r="A2" s="227" t="s">
        <v>67</v>
      </c>
      <c r="B2" s="81">
        <v>1</v>
      </c>
      <c r="C2" s="81">
        <v>1</v>
      </c>
      <c r="D2" s="81">
        <v>1</v>
      </c>
      <c r="E2" s="86">
        <f>1/(2*PI()*D2*C2)</f>
        <v>0.15915494309189535</v>
      </c>
      <c r="F2" s="86">
        <f>1/(2*PI()*B2*C2)</f>
        <v>0.15915494309189535</v>
      </c>
      <c r="G2" s="82"/>
      <c r="H2" s="32">
        <f>1/D2</f>
        <v>1</v>
      </c>
      <c r="I2" s="15">
        <v>1</v>
      </c>
      <c r="J2" s="87">
        <f>IF(H2&gt;0,360*I2/H2,0)</f>
        <v>360</v>
      </c>
    </row>
    <row r="3" spans="1:10" x14ac:dyDescent="0.2">
      <c r="A3" s="228"/>
      <c r="B3" s="15">
        <v>1</v>
      </c>
      <c r="C3" s="15">
        <v>1</v>
      </c>
      <c r="D3" s="15">
        <v>1</v>
      </c>
      <c r="E3" s="86">
        <f>1/(2*PI()*D3*C3)</f>
        <v>0.15915494309189535</v>
      </c>
      <c r="F3" s="86">
        <f>1/(2*PI()*B3*C3)</f>
        <v>0.15915494309189535</v>
      </c>
      <c r="G3" s="82"/>
      <c r="H3" s="32">
        <f>1/D3</f>
        <v>1</v>
      </c>
      <c r="I3" s="15">
        <v>1</v>
      </c>
      <c r="J3" s="87">
        <f>IF(H3&gt;0,360*I3/H3,0)</f>
        <v>360</v>
      </c>
    </row>
    <row r="4" spans="1:10" x14ac:dyDescent="0.2">
      <c r="A4" s="126"/>
      <c r="B4" s="15">
        <v>1</v>
      </c>
      <c r="C4" s="15">
        <v>1</v>
      </c>
      <c r="D4" s="15">
        <v>1</v>
      </c>
      <c r="E4" s="86">
        <f>1/(2*PI()*D4*C4)</f>
        <v>0.15915494309189535</v>
      </c>
      <c r="F4" s="86">
        <f>1/(2*PI()*B4*C4)</f>
        <v>0.15915494309189535</v>
      </c>
      <c r="G4" s="82"/>
      <c r="H4" s="32">
        <f>1/D4</f>
        <v>1</v>
      </c>
      <c r="I4" s="15">
        <v>1</v>
      </c>
      <c r="J4" s="87">
        <f>IF(H4&gt;0,360*I4/H4,0)</f>
        <v>360</v>
      </c>
    </row>
    <row r="5" spans="1:10" x14ac:dyDescent="0.2">
      <c r="A5" s="126"/>
      <c r="B5" s="84"/>
      <c r="C5" s="84"/>
      <c r="D5" s="84"/>
      <c r="E5" s="127"/>
      <c r="F5" s="127"/>
      <c r="G5" s="82"/>
      <c r="H5" s="84"/>
      <c r="I5" s="84"/>
      <c r="J5" s="128"/>
    </row>
    <row r="6" spans="1:10" x14ac:dyDescent="0.2">
      <c r="C6" s="49" t="s">
        <v>105</v>
      </c>
      <c r="D6" s="83"/>
      <c r="E6" s="82"/>
      <c r="F6" s="82"/>
      <c r="G6" s="82"/>
      <c r="H6" s="84"/>
      <c r="I6" s="84"/>
      <c r="J6" s="21"/>
    </row>
    <row r="7" spans="1:10" x14ac:dyDescent="0.2">
      <c r="A7" s="229" t="s">
        <v>106</v>
      </c>
      <c r="B7" s="81">
        <v>1</v>
      </c>
      <c r="C7" s="81">
        <v>1</v>
      </c>
      <c r="D7" s="81">
        <v>1</v>
      </c>
      <c r="E7" s="184">
        <f>2*PI()*D7*C7</f>
        <v>6.2831853071795862</v>
      </c>
      <c r="F7" s="183">
        <f>1/(2*PI()*C7/B7)</f>
        <v>0.15915494309189535</v>
      </c>
      <c r="G7" s="82"/>
      <c r="H7" s="182">
        <f>1/D7</f>
        <v>1</v>
      </c>
      <c r="I7" s="81">
        <v>1</v>
      </c>
      <c r="J7" s="74">
        <f>IF(H7&gt;0,360*I7/H7,0)</f>
        <v>360</v>
      </c>
    </row>
    <row r="8" spans="1:10" x14ac:dyDescent="0.2">
      <c r="A8" s="229"/>
      <c r="B8" s="15">
        <v>1</v>
      </c>
      <c r="C8" s="15">
        <v>1</v>
      </c>
      <c r="D8" s="15">
        <v>1</v>
      </c>
      <c r="E8" s="86">
        <f>2*PI()*D8*C8</f>
        <v>6.2831853071795862</v>
      </c>
      <c r="F8" s="86">
        <f>1/(2*PI()*C8/B8)</f>
        <v>0.15915494309189535</v>
      </c>
      <c r="G8" s="82"/>
      <c r="H8" s="32">
        <f>1/D8</f>
        <v>1</v>
      </c>
      <c r="I8" s="15">
        <v>1</v>
      </c>
      <c r="J8" s="87">
        <f>IF(H8&gt;0,360*I8/H8,0)</f>
        <v>360</v>
      </c>
    </row>
    <row r="9" spans="1:10" x14ac:dyDescent="0.2">
      <c r="B9" s="15">
        <v>1</v>
      </c>
      <c r="C9" s="15">
        <v>1</v>
      </c>
      <c r="D9" s="15">
        <v>1</v>
      </c>
      <c r="E9" s="86">
        <f>2*PI()*D9*C9</f>
        <v>6.2831853071795862</v>
      </c>
      <c r="F9" s="86">
        <f>1/(2*PI()*C9/B9)</f>
        <v>0.15915494309189535</v>
      </c>
      <c r="G9" s="82"/>
      <c r="H9" s="32">
        <f>1/D9</f>
        <v>1</v>
      </c>
      <c r="I9" s="15">
        <v>1</v>
      </c>
      <c r="J9" s="87">
        <f>IF(H9&gt;0,360*I9/H9,0)</f>
        <v>360</v>
      </c>
    </row>
    <row r="10" spans="1:10" x14ac:dyDescent="0.2">
      <c r="D10" s="83"/>
      <c r="E10" s="83"/>
      <c r="F10" s="83"/>
      <c r="G10" s="83"/>
      <c r="H10" s="84"/>
      <c r="I10" s="84"/>
      <c r="J10" s="21"/>
    </row>
    <row r="11" spans="1:10" x14ac:dyDescent="0.2">
      <c r="D11" s="83"/>
      <c r="E11" s="83"/>
      <c r="F11" s="83"/>
      <c r="G11" s="83"/>
      <c r="H11" s="84"/>
      <c r="I11" s="84"/>
      <c r="J11" s="21"/>
    </row>
    <row r="12" spans="1:10" x14ac:dyDescent="0.2">
      <c r="D12" s="83"/>
      <c r="E12" s="83"/>
      <c r="F12" s="83"/>
      <c r="G12" s="83"/>
      <c r="H12" s="84"/>
      <c r="I12" s="84"/>
      <c r="J12" s="21"/>
    </row>
    <row r="13" spans="1:10" x14ac:dyDescent="0.2">
      <c r="D13" s="83"/>
      <c r="E13" s="83"/>
      <c r="F13" s="83"/>
      <c r="G13" s="83"/>
      <c r="H13" s="84"/>
      <c r="I13" s="84"/>
      <c r="J13" s="21"/>
    </row>
    <row r="14" spans="1:10" x14ac:dyDescent="0.2">
      <c r="B14" s="17"/>
    </row>
    <row r="15" spans="1:10" x14ac:dyDescent="0.2">
      <c r="B15" s="17"/>
    </row>
    <row r="17" spans="5:5" x14ac:dyDescent="0.2">
      <c r="E17" s="85"/>
    </row>
  </sheetData>
  <mergeCells count="2">
    <mergeCell ref="A2:A3"/>
    <mergeCell ref="A7:A8"/>
  </mergeCells>
  <pageMargins left="0.7" right="0.7" top="0.75" bottom="0.75" header="0.3" footer="0.3"/>
  <pageSetup scale="85" orientation="landscape" horizontalDpi="300" verticalDpi="300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MECH 10 - Lab 04</vt:lpstr>
      <vt:lpstr>MECH 10 - Lab 06</vt:lpstr>
      <vt:lpstr>MECH 10 Lab 07</vt:lpstr>
      <vt:lpstr>MECH 10 Lab 08</vt:lpstr>
      <vt:lpstr>MECH 10 - Lab 09</vt:lpstr>
      <vt:lpstr>MECH 10 - Lab 12</vt:lpstr>
      <vt:lpstr>MECH 10 - Lab 13</vt:lpstr>
      <vt:lpstr>MECH 10 - Lab 14</vt:lpstr>
      <vt:lpstr>MECH 10 - Lab 15</vt:lpstr>
      <vt:lpstr>MECH 10 - Lab 17</vt:lpstr>
      <vt:lpstr>MECH 10 - Lab 18</vt:lpstr>
      <vt:lpstr>MECH 10 - Lab 20</vt:lpstr>
      <vt:lpstr>MECH 10 - Lab 24</vt:lpstr>
      <vt:lpstr>MECH 10 - Lab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Gillette</dc:creator>
  <cp:lastModifiedBy>cayceb</cp:lastModifiedBy>
  <cp:lastPrinted>2015-03-29T19:09:44Z</cp:lastPrinted>
  <dcterms:created xsi:type="dcterms:W3CDTF">2011-09-18T23:25:29Z</dcterms:created>
  <dcterms:modified xsi:type="dcterms:W3CDTF">2019-09-14T16:22:59Z</dcterms:modified>
</cp:coreProperties>
</file>