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hil James\OneDrive\سطح المكتب\FinModel Proj\TATA CONSUMER PRODUCTS MODEL\"/>
    </mc:Choice>
  </mc:AlternateContent>
  <xr:revisionPtr revIDLastSave="0" documentId="13_ncr:1_{F9D65025-CD87-4948-875F-1304F775C12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inancials &gt;" sheetId="12" r:id="rId1"/>
    <sheet name="Historical_FS" sheetId="8" r:id="rId2"/>
    <sheet name="Analysis &gt;" sheetId="29" r:id="rId3"/>
    <sheet name="Ratio Analysis" sheetId="11" r:id="rId4"/>
    <sheet name="Dupont Analysis" sheetId="31" r:id="rId5"/>
    <sheet name="Football Field Analysis" sheetId="30" r:id="rId6"/>
    <sheet name="Altmans Z Score" sheetId="32" r:id="rId7"/>
    <sheet name="DCF &gt;" sheetId="25" r:id="rId8"/>
    <sheet name="DCF" sheetId="23" r:id="rId9"/>
    <sheet name="Forecast" sheetId="24" r:id="rId10"/>
    <sheet name="Intrinsic Growth" sheetId="21" r:id="rId11"/>
    <sheet name="Relative Valuation &gt;" sheetId="28" r:id="rId12"/>
    <sheet name="Relative Valuation" sheetId="26" r:id="rId13"/>
    <sheet name="WACC &gt;" sheetId="15" r:id="rId14"/>
    <sheet name="WACC Model" sheetId="13" r:id="rId15"/>
    <sheet name="Beta" sheetId="17" r:id="rId16"/>
    <sheet name="RM" sheetId="19" r:id="rId17"/>
    <sheet name="Data &gt;" sheetId="7" r:id="rId18"/>
    <sheet name="Data Sheet" sheetId="6" r:id="rId19"/>
    <sheet name="RAW CFS" sheetId="9" r:id="rId20"/>
    <sheet name="Breakup of Other Liabilities" sheetId="10" r:id="rId21"/>
    <sheet name="WACC Data" sheetId="14" r:id="rId22"/>
    <sheet name="RAW BS" sheetId="20" r:id="rId23"/>
    <sheet name="PeerComps" sheetId="27" r:id="rId24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32" l="1"/>
  <c r="G8" i="32" s="1"/>
  <c r="G36" i="32" s="1"/>
  <c r="F6" i="32"/>
  <c r="K6" i="32"/>
  <c r="H6" i="32"/>
  <c r="H8" i="32" s="1"/>
  <c r="J6" i="32"/>
  <c r="K8" i="32"/>
  <c r="L6" i="32"/>
  <c r="L8" i="32" s="1"/>
  <c r="I6" i="32"/>
  <c r="I8" i="32" s="1"/>
  <c r="F18" i="32"/>
  <c r="F20" i="32" s="1"/>
  <c r="L30" i="32"/>
  <c r="K30" i="32"/>
  <c r="J30" i="32"/>
  <c r="I30" i="32"/>
  <c r="H30" i="32"/>
  <c r="G30" i="32"/>
  <c r="F30" i="32"/>
  <c r="F32" i="32" s="1"/>
  <c r="I31" i="32"/>
  <c r="H31" i="32"/>
  <c r="G31" i="32"/>
  <c r="L24" i="32"/>
  <c r="K24" i="32"/>
  <c r="J24" i="32"/>
  <c r="I24" i="32"/>
  <c r="H24" i="32"/>
  <c r="G24" i="32"/>
  <c r="F24" i="32"/>
  <c r="I25" i="32"/>
  <c r="H25" i="32"/>
  <c r="G25" i="32"/>
  <c r="F25" i="32"/>
  <c r="F31" i="32" s="1"/>
  <c r="L18" i="32"/>
  <c r="K18" i="32"/>
  <c r="J18" i="32"/>
  <c r="I18" i="32"/>
  <c r="H18" i="32"/>
  <c r="G18" i="32"/>
  <c r="H20" i="32"/>
  <c r="I19" i="32"/>
  <c r="H19" i="32"/>
  <c r="G19" i="32"/>
  <c r="F19" i="32"/>
  <c r="I14" i="32"/>
  <c r="H14" i="32"/>
  <c r="G14" i="32"/>
  <c r="F14" i="32"/>
  <c r="L13" i="32"/>
  <c r="L19" i="32" s="1"/>
  <c r="I13" i="32"/>
  <c r="H13" i="32"/>
  <c r="G13" i="32"/>
  <c r="F13" i="32"/>
  <c r="L12" i="32"/>
  <c r="K12" i="32"/>
  <c r="J12" i="32"/>
  <c r="I12" i="32"/>
  <c r="H12" i="32"/>
  <c r="G12" i="32"/>
  <c r="F12" i="32"/>
  <c r="L7" i="32"/>
  <c r="K7" i="32"/>
  <c r="K13" i="32" s="1"/>
  <c r="K19" i="32" s="1"/>
  <c r="J7" i="32"/>
  <c r="J13" i="32" s="1"/>
  <c r="J19" i="32" s="1"/>
  <c r="J25" i="32" s="1"/>
  <c r="J31" i="32" s="1"/>
  <c r="I7" i="32"/>
  <c r="H7" i="32"/>
  <c r="G7" i="32"/>
  <c r="F7" i="32"/>
  <c r="G5" i="32"/>
  <c r="G11" i="32" s="1"/>
  <c r="G17" i="32" s="1"/>
  <c r="G23" i="32" s="1"/>
  <c r="G29" i="32" s="1"/>
  <c r="G35" i="32" s="1"/>
  <c r="H5" i="32"/>
  <c r="H11" i="32" s="1"/>
  <c r="H17" i="32" s="1"/>
  <c r="H23" i="32" s="1"/>
  <c r="H29" i="32" s="1"/>
  <c r="H35" i="32" s="1"/>
  <c r="I5" i="32"/>
  <c r="I11" i="32" s="1"/>
  <c r="I17" i="32" s="1"/>
  <c r="I23" i="32" s="1"/>
  <c r="I29" i="32" s="1"/>
  <c r="I35" i="32" s="1"/>
  <c r="J5" i="32"/>
  <c r="J11" i="32" s="1"/>
  <c r="J17" i="32" s="1"/>
  <c r="J23" i="32" s="1"/>
  <c r="J29" i="32" s="1"/>
  <c r="J35" i="32" s="1"/>
  <c r="K5" i="32"/>
  <c r="K11" i="32" s="1"/>
  <c r="K17" i="32" s="1"/>
  <c r="K23" i="32" s="1"/>
  <c r="K29" i="32" s="1"/>
  <c r="K35" i="32" s="1"/>
  <c r="L5" i="32"/>
  <c r="L11" i="32" s="1"/>
  <c r="L17" i="32" s="1"/>
  <c r="L23" i="32" s="1"/>
  <c r="L29" i="32" s="1"/>
  <c r="L35" i="32" s="1"/>
  <c r="F5" i="32"/>
  <c r="F11" i="32" s="1"/>
  <c r="F17" i="32" s="1"/>
  <c r="F23" i="32" s="1"/>
  <c r="F29" i="32" s="1"/>
  <c r="F35" i="32" s="1"/>
  <c r="B2" i="32"/>
  <c r="B86" i="31"/>
  <c r="B87" i="31"/>
  <c r="B85" i="31"/>
  <c r="B82" i="31"/>
  <c r="B83" i="31"/>
  <c r="L25" i="32" l="1"/>
  <c r="L31" i="32" s="1"/>
  <c r="L32" i="32" s="1"/>
  <c r="L20" i="32"/>
  <c r="K20" i="32"/>
  <c r="K25" i="32"/>
  <c r="J14" i="32"/>
  <c r="K14" i="32"/>
  <c r="F26" i="32"/>
  <c r="G26" i="32"/>
  <c r="G32" i="32"/>
  <c r="H26" i="32"/>
  <c r="H36" i="32" s="1"/>
  <c r="H38" i="32" s="1"/>
  <c r="H32" i="32"/>
  <c r="J8" i="32"/>
  <c r="J36" i="32" s="1"/>
  <c r="J38" i="32" s="1"/>
  <c r="G20" i="32"/>
  <c r="G38" i="32" s="1"/>
  <c r="I26" i="32"/>
  <c r="I32" i="32"/>
  <c r="J26" i="32"/>
  <c r="J32" i="32"/>
  <c r="I20" i="32"/>
  <c r="I36" i="32" s="1"/>
  <c r="I38" i="32" s="1"/>
  <c r="J20" i="32"/>
  <c r="L26" i="32"/>
  <c r="L36" i="32" s="1"/>
  <c r="L38" i="32" s="1"/>
  <c r="F8" i="32"/>
  <c r="F36" i="32" s="1"/>
  <c r="L14" i="32"/>
  <c r="B68" i="31"/>
  <c r="B67" i="31"/>
  <c r="K64" i="31"/>
  <c r="K67" i="31" s="1"/>
  <c r="J64" i="31"/>
  <c r="I64" i="31"/>
  <c r="I67" i="31" s="1"/>
  <c r="H64" i="31"/>
  <c r="G64" i="31"/>
  <c r="G67" i="31" s="1"/>
  <c r="F64" i="31"/>
  <c r="F67" i="31" s="1"/>
  <c r="L64" i="31"/>
  <c r="G53" i="31"/>
  <c r="H53" i="31"/>
  <c r="I53" i="31"/>
  <c r="I75" i="31" s="1"/>
  <c r="J53" i="31"/>
  <c r="J59" i="31" s="1"/>
  <c r="K53" i="31"/>
  <c r="L53" i="31"/>
  <c r="F53" i="31"/>
  <c r="F75" i="31" s="1"/>
  <c r="G60" i="31"/>
  <c r="G82" i="31" s="1"/>
  <c r="H60" i="31"/>
  <c r="H82" i="31" s="1"/>
  <c r="I60" i="31"/>
  <c r="I82" i="31" s="1"/>
  <c r="J60" i="31"/>
  <c r="J82" i="31" s="1"/>
  <c r="K60" i="31"/>
  <c r="K82" i="31" s="1"/>
  <c r="L60" i="31"/>
  <c r="L82" i="31" s="1"/>
  <c r="F60" i="31"/>
  <c r="F82" i="31" s="1"/>
  <c r="B59" i="31"/>
  <c r="B81" i="31" s="1"/>
  <c r="K54" i="31"/>
  <c r="K68" i="31" s="1"/>
  <c r="J54" i="31"/>
  <c r="J68" i="31" s="1"/>
  <c r="I54" i="31"/>
  <c r="H54" i="31"/>
  <c r="H68" i="31" s="1"/>
  <c r="G54" i="31"/>
  <c r="G68" i="31" s="1"/>
  <c r="F54" i="31"/>
  <c r="L54" i="31"/>
  <c r="L68" i="31" s="1"/>
  <c r="K52" i="31"/>
  <c r="K58" i="31" s="1"/>
  <c r="K74" i="31" s="1"/>
  <c r="K80" i="31" s="1"/>
  <c r="J52" i="31"/>
  <c r="J58" i="31" s="1"/>
  <c r="J74" i="31" s="1"/>
  <c r="J80" i="31" s="1"/>
  <c r="I52" i="31"/>
  <c r="I58" i="31" s="1"/>
  <c r="I74" i="31" s="1"/>
  <c r="I80" i="31" s="1"/>
  <c r="H52" i="31"/>
  <c r="H58" i="31" s="1"/>
  <c r="H74" i="31" s="1"/>
  <c r="H80" i="31" s="1"/>
  <c r="G52" i="31"/>
  <c r="G58" i="31" s="1"/>
  <c r="G74" i="31" s="1"/>
  <c r="G80" i="31" s="1"/>
  <c r="F52" i="31"/>
  <c r="F58" i="31" s="1"/>
  <c r="F74" i="31" s="1"/>
  <c r="F80" i="31" s="1"/>
  <c r="L52" i="31"/>
  <c r="L58" i="31" s="1"/>
  <c r="L74" i="31" s="1"/>
  <c r="L80" i="31" s="1"/>
  <c r="B2" i="31"/>
  <c r="F10" i="30"/>
  <c r="E10" i="30"/>
  <c r="B2" i="30"/>
  <c r="P27" i="26"/>
  <c r="P29" i="26"/>
  <c r="P31" i="26" s="1"/>
  <c r="O31" i="26"/>
  <c r="N31" i="26"/>
  <c r="O30" i="26"/>
  <c r="P30" i="26"/>
  <c r="N30" i="26"/>
  <c r="O29" i="26"/>
  <c r="N29" i="26"/>
  <c r="O28" i="26"/>
  <c r="P28" i="26"/>
  <c r="N28" i="26"/>
  <c r="O27" i="26"/>
  <c r="N27" i="26"/>
  <c r="O18" i="26"/>
  <c r="P18" i="26"/>
  <c r="O19" i="26"/>
  <c r="P19" i="26"/>
  <c r="O20" i="26"/>
  <c r="P20" i="26"/>
  <c r="O21" i="26"/>
  <c r="P21" i="26"/>
  <c r="O22" i="26"/>
  <c r="P22" i="26"/>
  <c r="O23" i="26"/>
  <c r="P23" i="26"/>
  <c r="N23" i="26"/>
  <c r="N22" i="26"/>
  <c r="N21" i="26"/>
  <c r="N20" i="26"/>
  <c r="N19" i="26"/>
  <c r="N18" i="26"/>
  <c r="P8" i="26"/>
  <c r="P9" i="26"/>
  <c r="P10" i="26"/>
  <c r="P11" i="26"/>
  <c r="P12" i="26"/>
  <c r="P13" i="26"/>
  <c r="P14" i="26"/>
  <c r="P15" i="26"/>
  <c r="P16" i="26"/>
  <c r="P7" i="26"/>
  <c r="O8" i="26"/>
  <c r="O9" i="26"/>
  <c r="O10" i="26"/>
  <c r="O11" i="26"/>
  <c r="O12" i="26"/>
  <c r="O13" i="26"/>
  <c r="O14" i="26"/>
  <c r="O15" i="26"/>
  <c r="O16" i="26"/>
  <c r="O7" i="26"/>
  <c r="N8" i="26"/>
  <c r="N9" i="26"/>
  <c r="N10" i="26"/>
  <c r="N11" i="26"/>
  <c r="N12" i="26"/>
  <c r="N13" i="26"/>
  <c r="N14" i="26"/>
  <c r="N15" i="26"/>
  <c r="N16" i="26"/>
  <c r="N7" i="26"/>
  <c r="L16" i="26"/>
  <c r="K16" i="26"/>
  <c r="J16" i="26"/>
  <c r="G16" i="26"/>
  <c r="F16" i="26"/>
  <c r="E16" i="26"/>
  <c r="L15" i="26"/>
  <c r="K15" i="26"/>
  <c r="J15" i="26"/>
  <c r="G15" i="26"/>
  <c r="F15" i="26"/>
  <c r="H15" i="26" s="1"/>
  <c r="E15" i="26"/>
  <c r="L14" i="26"/>
  <c r="K14" i="26"/>
  <c r="J14" i="26"/>
  <c r="G14" i="26"/>
  <c r="F14" i="26"/>
  <c r="E14" i="26"/>
  <c r="L13" i="26"/>
  <c r="K13" i="26"/>
  <c r="J13" i="26"/>
  <c r="G13" i="26"/>
  <c r="F13" i="26"/>
  <c r="E13" i="26"/>
  <c r="L12" i="26"/>
  <c r="K12" i="26"/>
  <c r="J12" i="26"/>
  <c r="G12" i="26"/>
  <c r="F12" i="26"/>
  <c r="H12" i="26" s="1"/>
  <c r="E12" i="26"/>
  <c r="L11" i="26"/>
  <c r="K11" i="26"/>
  <c r="J11" i="26"/>
  <c r="G11" i="26"/>
  <c r="F11" i="26"/>
  <c r="E11" i="26"/>
  <c r="L7" i="26"/>
  <c r="K7" i="26"/>
  <c r="J7" i="26"/>
  <c r="G7" i="26"/>
  <c r="F7" i="26"/>
  <c r="E7" i="26"/>
  <c r="L10" i="26"/>
  <c r="K10" i="26"/>
  <c r="J10" i="26"/>
  <c r="G10" i="26"/>
  <c r="F10" i="26"/>
  <c r="H10" i="26" s="1"/>
  <c r="E10" i="26"/>
  <c r="L9" i="26"/>
  <c r="K9" i="26"/>
  <c r="J9" i="26"/>
  <c r="G9" i="26"/>
  <c r="F9" i="26"/>
  <c r="H9" i="26" s="1"/>
  <c r="E9" i="26"/>
  <c r="L8" i="26"/>
  <c r="K8" i="26"/>
  <c r="J8" i="26"/>
  <c r="F8" i="26"/>
  <c r="G8" i="26"/>
  <c r="E8" i="26"/>
  <c r="D9" i="26"/>
  <c r="D10" i="26"/>
  <c r="D7" i="26"/>
  <c r="D11" i="26"/>
  <c r="D12" i="26"/>
  <c r="D13" i="26"/>
  <c r="D14" i="26"/>
  <c r="D15" i="26"/>
  <c r="D16" i="26"/>
  <c r="D8" i="26"/>
  <c r="N17" i="27"/>
  <c r="N16" i="27"/>
  <c r="N15" i="27"/>
  <c r="N14" i="27"/>
  <c r="N13" i="27"/>
  <c r="N12" i="27"/>
  <c r="N11" i="27"/>
  <c r="N10" i="27"/>
  <c r="N9" i="27"/>
  <c r="N8" i="27"/>
  <c r="N7" i="27"/>
  <c r="N6" i="27"/>
  <c r="N5" i="27"/>
  <c r="N4" i="27"/>
  <c r="N3" i="27"/>
  <c r="M17" i="27"/>
  <c r="M16" i="27"/>
  <c r="M15" i="27"/>
  <c r="M14" i="27"/>
  <c r="M13" i="27"/>
  <c r="M12" i="27"/>
  <c r="M11" i="27"/>
  <c r="M10" i="27"/>
  <c r="M9" i="27"/>
  <c r="M8" i="27"/>
  <c r="M7" i="27"/>
  <c r="M6" i="27"/>
  <c r="M5" i="27"/>
  <c r="M4" i="27"/>
  <c r="M3" i="27"/>
  <c r="B5" i="27"/>
  <c r="B6" i="27" s="1"/>
  <c r="B7" i="27" s="1"/>
  <c r="B8" i="27" s="1"/>
  <c r="B9" i="27" s="1"/>
  <c r="B10" i="27" s="1"/>
  <c r="B11" i="27" s="1"/>
  <c r="B12" i="27" s="1"/>
  <c r="B13" i="27" s="1"/>
  <c r="B14" i="27" s="1"/>
  <c r="B15" i="27" s="1"/>
  <c r="B16" i="27" s="1"/>
  <c r="B17" i="27" s="1"/>
  <c r="B4" i="27"/>
  <c r="H5" i="27"/>
  <c r="F14" i="27"/>
  <c r="H14" i="27" s="1"/>
  <c r="F13" i="27"/>
  <c r="H13" i="27" s="1"/>
  <c r="F12" i="27"/>
  <c r="H12" i="27" s="1"/>
  <c r="F11" i="27"/>
  <c r="H11" i="27" s="1"/>
  <c r="F10" i="27"/>
  <c r="H10" i="27" s="1"/>
  <c r="F9" i="27"/>
  <c r="H9" i="27" s="1"/>
  <c r="F8" i="27"/>
  <c r="H8" i="27" s="1"/>
  <c r="F7" i="27"/>
  <c r="H7" i="27" s="1"/>
  <c r="F6" i="27"/>
  <c r="H6" i="27" s="1"/>
  <c r="F5" i="27"/>
  <c r="F4" i="27"/>
  <c r="H4" i="27" s="1"/>
  <c r="F3" i="27"/>
  <c r="H3" i="27" s="1"/>
  <c r="F17" i="27"/>
  <c r="H17" i="27" s="1"/>
  <c r="F16" i="27"/>
  <c r="H16" i="27" s="1"/>
  <c r="F15" i="27"/>
  <c r="H15" i="27" s="1"/>
  <c r="C38" i="23"/>
  <c r="C36" i="23"/>
  <c r="C35" i="23"/>
  <c r="H22" i="23"/>
  <c r="I22" i="23" s="1"/>
  <c r="J22" i="23" s="1"/>
  <c r="E18" i="23"/>
  <c r="D18" i="23"/>
  <c r="E16" i="23"/>
  <c r="D10" i="23"/>
  <c r="E10" i="23" s="1"/>
  <c r="F10" i="23" s="1"/>
  <c r="G10" i="23" s="1"/>
  <c r="F16" i="24"/>
  <c r="G16" i="24"/>
  <c r="F18" i="23" s="1"/>
  <c r="H16" i="24"/>
  <c r="G18" i="23" s="1"/>
  <c r="E16" i="24"/>
  <c r="F13" i="24"/>
  <c r="G13" i="24"/>
  <c r="F16" i="23" s="1"/>
  <c r="H13" i="24"/>
  <c r="E13" i="24"/>
  <c r="D16" i="23" s="1"/>
  <c r="E21" i="24"/>
  <c r="E11" i="24"/>
  <c r="F11" i="24"/>
  <c r="G11" i="24"/>
  <c r="H11" i="24"/>
  <c r="F10" i="24"/>
  <c r="E14" i="23" s="1"/>
  <c r="G10" i="24"/>
  <c r="F14" i="23" s="1"/>
  <c r="H10" i="24"/>
  <c r="G14" i="23" s="1"/>
  <c r="E10" i="24"/>
  <c r="D14" i="23" s="1"/>
  <c r="F8" i="24"/>
  <c r="G8" i="24"/>
  <c r="H8" i="24"/>
  <c r="E8" i="24"/>
  <c r="F7" i="24"/>
  <c r="E8" i="23" s="1"/>
  <c r="G7" i="24"/>
  <c r="F8" i="23" s="1"/>
  <c r="H7" i="24"/>
  <c r="G8" i="23" s="1"/>
  <c r="E7" i="24"/>
  <c r="D8" i="23" s="1"/>
  <c r="K36" i="32" l="1"/>
  <c r="K38" i="32" s="1"/>
  <c r="K26" i="32"/>
  <c r="K31" i="32"/>
  <c r="K32" i="32" s="1"/>
  <c r="F38" i="32"/>
  <c r="F55" i="31"/>
  <c r="I55" i="31"/>
  <c r="F59" i="31"/>
  <c r="F81" i="31" s="1"/>
  <c r="I59" i="31"/>
  <c r="I81" i="31" s="1"/>
  <c r="K55" i="31"/>
  <c r="G63" i="31"/>
  <c r="G85" i="31" s="1"/>
  <c r="L55" i="31"/>
  <c r="G69" i="31"/>
  <c r="I63" i="31"/>
  <c r="I85" i="31" s="1"/>
  <c r="J61" i="31"/>
  <c r="J83" i="31" s="1"/>
  <c r="J81" i="31"/>
  <c r="J86" i="31"/>
  <c r="J76" i="31"/>
  <c r="H63" i="31"/>
  <c r="H85" i="31" s="1"/>
  <c r="K76" i="31"/>
  <c r="K86" i="31"/>
  <c r="F68" i="31"/>
  <c r="F69" i="31" s="1"/>
  <c r="J55" i="31"/>
  <c r="J75" i="31"/>
  <c r="G59" i="31"/>
  <c r="G75" i="31"/>
  <c r="L86" i="31"/>
  <c r="L76" i="31"/>
  <c r="L67" i="31"/>
  <c r="L69" i="31" s="1"/>
  <c r="F63" i="31"/>
  <c r="F76" i="31"/>
  <c r="F77" i="31" s="1"/>
  <c r="F86" i="31"/>
  <c r="K69" i="31"/>
  <c r="H59" i="31"/>
  <c r="H81" i="31" s="1"/>
  <c r="H75" i="31"/>
  <c r="L63" i="31"/>
  <c r="L85" i="31" s="1"/>
  <c r="G86" i="31"/>
  <c r="G76" i="31"/>
  <c r="J67" i="31"/>
  <c r="J69" i="31" s="1"/>
  <c r="L59" i="31"/>
  <c r="L81" i="31" s="1"/>
  <c r="L75" i="31"/>
  <c r="K63" i="31"/>
  <c r="H86" i="31"/>
  <c r="H76" i="31"/>
  <c r="I68" i="31"/>
  <c r="I69" i="31" s="1"/>
  <c r="K59" i="31"/>
  <c r="K81" i="31" s="1"/>
  <c r="K75" i="31"/>
  <c r="J63" i="31"/>
  <c r="J85" i="31" s="1"/>
  <c r="I86" i="31"/>
  <c r="I76" i="31"/>
  <c r="I77" i="31" s="1"/>
  <c r="H67" i="31"/>
  <c r="H69" i="31" s="1"/>
  <c r="G55" i="31"/>
  <c r="H55" i="31"/>
  <c r="H13" i="26"/>
  <c r="H16" i="26"/>
  <c r="H8" i="26"/>
  <c r="H11" i="26"/>
  <c r="H7" i="26"/>
  <c r="H14" i="26"/>
  <c r="G16" i="23"/>
  <c r="D12" i="23"/>
  <c r="D20" i="23" s="1"/>
  <c r="K22" i="23"/>
  <c r="F12" i="23"/>
  <c r="F20" i="23" s="1"/>
  <c r="E12" i="23"/>
  <c r="E20" i="23" s="1"/>
  <c r="H10" i="23"/>
  <c r="G12" i="23"/>
  <c r="G20" i="23" s="1"/>
  <c r="I61" i="31" l="1"/>
  <c r="I83" i="31" s="1"/>
  <c r="L65" i="31"/>
  <c r="L77" i="31"/>
  <c r="F61" i="31"/>
  <c r="F83" i="31" s="1"/>
  <c r="H61" i="31"/>
  <c r="H83" i="31" s="1"/>
  <c r="J77" i="31"/>
  <c r="I65" i="31"/>
  <c r="I87" i="31" s="1"/>
  <c r="G65" i="31"/>
  <c r="G87" i="31" s="1"/>
  <c r="J65" i="31"/>
  <c r="J87" i="31" s="1"/>
  <c r="J89" i="31" s="1"/>
  <c r="L61" i="31"/>
  <c r="L83" i="31" s="1"/>
  <c r="H77" i="31"/>
  <c r="G77" i="31"/>
  <c r="F85" i="31"/>
  <c r="F65" i="31"/>
  <c r="G61" i="31"/>
  <c r="G83" i="31" s="1"/>
  <c r="G81" i="31"/>
  <c r="K85" i="31"/>
  <c r="K65" i="31"/>
  <c r="K87" i="31" s="1"/>
  <c r="H65" i="31"/>
  <c r="H87" i="31" s="1"/>
  <c r="K61" i="31"/>
  <c r="K83" i="31" s="1"/>
  <c r="K77" i="31"/>
  <c r="L87" i="31"/>
  <c r="L22" i="23"/>
  <c r="I10" i="23"/>
  <c r="I89" i="31" l="1"/>
  <c r="J71" i="31"/>
  <c r="H89" i="31"/>
  <c r="K89" i="31"/>
  <c r="L89" i="31"/>
  <c r="L71" i="31"/>
  <c r="I71" i="31"/>
  <c r="K71" i="31"/>
  <c r="H71" i="31"/>
  <c r="G89" i="31"/>
  <c r="G71" i="31"/>
  <c r="F87" i="31"/>
  <c r="F89" i="31" s="1"/>
  <c r="F71" i="31"/>
  <c r="J10" i="23"/>
  <c r="K10" i="23" l="1"/>
  <c r="L10" i="23" l="1"/>
  <c r="G6" i="23" l="1"/>
  <c r="D6" i="23"/>
  <c r="E4" i="23"/>
  <c r="D4" i="23"/>
  <c r="E19" i="24"/>
  <c r="I4" i="24" s="1"/>
  <c r="F5" i="24"/>
  <c r="G5" i="24"/>
  <c r="H5" i="24"/>
  <c r="E5" i="24"/>
  <c r="E2" i="24"/>
  <c r="F2" i="24"/>
  <c r="G2" i="24"/>
  <c r="F4" i="23" s="1"/>
  <c r="H2" i="24"/>
  <c r="I2" i="24" s="1"/>
  <c r="E4" i="24"/>
  <c r="F4" i="24"/>
  <c r="E6" i="23" s="1"/>
  <c r="G4" i="24"/>
  <c r="F6" i="23" s="1"/>
  <c r="H4" i="24"/>
  <c r="J2" i="24" l="1"/>
  <c r="H4" i="23"/>
  <c r="H14" i="24"/>
  <c r="H17" i="24"/>
  <c r="G4" i="23"/>
  <c r="G17" i="24"/>
  <c r="G14" i="24"/>
  <c r="F17" i="24"/>
  <c r="F14" i="24"/>
  <c r="E17" i="24"/>
  <c r="E14" i="24"/>
  <c r="J4" i="24"/>
  <c r="K4" i="24" s="1"/>
  <c r="I10" i="24"/>
  <c r="I7" i="24"/>
  <c r="I5" i="24"/>
  <c r="H6" i="23"/>
  <c r="I6" i="23"/>
  <c r="J5" i="24"/>
  <c r="I11" i="24" l="1"/>
  <c r="H14" i="23"/>
  <c r="E23" i="24"/>
  <c r="I16" i="24" s="1"/>
  <c r="I8" i="24"/>
  <c r="H8" i="23"/>
  <c r="H12" i="23" s="1"/>
  <c r="E22" i="24"/>
  <c r="I13" i="24" s="1"/>
  <c r="K2" i="24"/>
  <c r="I4" i="23"/>
  <c r="K10" i="24"/>
  <c r="K7" i="24"/>
  <c r="J10" i="24"/>
  <c r="J7" i="24"/>
  <c r="L4" i="24"/>
  <c r="K5" i="24"/>
  <c r="J6" i="23"/>
  <c r="J13" i="24" l="1"/>
  <c r="H18" i="23"/>
  <c r="I17" i="24"/>
  <c r="L16" i="24"/>
  <c r="L2" i="24"/>
  <c r="J4" i="23"/>
  <c r="J8" i="24"/>
  <c r="I8" i="23"/>
  <c r="I12" i="23" s="1"/>
  <c r="K8" i="24"/>
  <c r="J8" i="23"/>
  <c r="J12" i="23" s="1"/>
  <c r="K16" i="24"/>
  <c r="K13" i="24"/>
  <c r="J16" i="24"/>
  <c r="I14" i="24"/>
  <c r="H16" i="23"/>
  <c r="H20" i="23" s="1"/>
  <c r="J11" i="24"/>
  <c r="I14" i="23"/>
  <c r="K11" i="24"/>
  <c r="J14" i="23"/>
  <c r="L13" i="24"/>
  <c r="L10" i="24"/>
  <c r="L7" i="24"/>
  <c r="K6" i="23"/>
  <c r="L5" i="24"/>
  <c r="M4" i="24"/>
  <c r="M16" i="24" s="1"/>
  <c r="L11" i="24" l="1"/>
  <c r="K14" i="23"/>
  <c r="J17" i="24"/>
  <c r="I18" i="23"/>
  <c r="K4" i="23"/>
  <c r="M2" i="24"/>
  <c r="L4" i="23" s="1"/>
  <c r="L8" i="24"/>
  <c r="K8" i="23"/>
  <c r="K12" i="23" s="1"/>
  <c r="K14" i="24"/>
  <c r="J16" i="23"/>
  <c r="K18" i="23"/>
  <c r="L17" i="24"/>
  <c r="L14" i="24"/>
  <c r="K16" i="23"/>
  <c r="J18" i="23"/>
  <c r="J20" i="23" s="1"/>
  <c r="K17" i="24"/>
  <c r="M17" i="24"/>
  <c r="L18" i="23"/>
  <c r="J14" i="24"/>
  <c r="I16" i="23"/>
  <c r="I20" i="23" s="1"/>
  <c r="M7" i="24"/>
  <c r="M13" i="24"/>
  <c r="M10" i="24"/>
  <c r="L6" i="23"/>
  <c r="M5" i="24"/>
  <c r="K20" i="23" l="1"/>
  <c r="M14" i="24"/>
  <c r="L16" i="23"/>
  <c r="M8" i="24"/>
  <c r="L8" i="23"/>
  <c r="L12" i="23" s="1"/>
  <c r="M11" i="24"/>
  <c r="L14" i="23"/>
  <c r="F42" i="21"/>
  <c r="G42" i="21"/>
  <c r="H42" i="21"/>
  <c r="I42" i="21"/>
  <c r="E14" i="21"/>
  <c r="F14" i="21"/>
  <c r="G14" i="21"/>
  <c r="H14" i="21"/>
  <c r="I14" i="21"/>
  <c r="E15" i="21"/>
  <c r="F15" i="21"/>
  <c r="G15" i="21"/>
  <c r="H15" i="21"/>
  <c r="I15" i="21"/>
  <c r="E7" i="21"/>
  <c r="F7" i="21"/>
  <c r="G7" i="21"/>
  <c r="H7" i="21"/>
  <c r="I7" i="21"/>
  <c r="E8" i="21"/>
  <c r="F8" i="21"/>
  <c r="G8" i="21"/>
  <c r="H8" i="21"/>
  <c r="I8" i="21"/>
  <c r="E9" i="21"/>
  <c r="F9" i="21"/>
  <c r="G9" i="21"/>
  <c r="H9" i="21"/>
  <c r="I9" i="21"/>
  <c r="B9" i="21"/>
  <c r="F41" i="21"/>
  <c r="G41" i="21"/>
  <c r="H41" i="21"/>
  <c r="I41" i="21"/>
  <c r="E41" i="21"/>
  <c r="F31" i="21"/>
  <c r="G31" i="21"/>
  <c r="H31" i="21"/>
  <c r="I31" i="21"/>
  <c r="E31" i="21"/>
  <c r="E22" i="21"/>
  <c r="F22" i="21"/>
  <c r="G22" i="21"/>
  <c r="H22" i="21"/>
  <c r="I22" i="21"/>
  <c r="E23" i="21"/>
  <c r="F23" i="21"/>
  <c r="G23" i="21"/>
  <c r="H23" i="21"/>
  <c r="I23" i="21"/>
  <c r="E24" i="21"/>
  <c r="F24" i="21"/>
  <c r="G24" i="21"/>
  <c r="H24" i="21"/>
  <c r="I24" i="21"/>
  <c r="E25" i="21"/>
  <c r="F25" i="21"/>
  <c r="G25" i="21"/>
  <c r="H25" i="21"/>
  <c r="I25" i="21"/>
  <c r="E26" i="21"/>
  <c r="F26" i="21"/>
  <c r="G26" i="21"/>
  <c r="H26" i="21"/>
  <c r="I26" i="21"/>
  <c r="E27" i="21"/>
  <c r="F27" i="21"/>
  <c r="G27" i="21"/>
  <c r="H27" i="21"/>
  <c r="I27" i="21"/>
  <c r="E28" i="21"/>
  <c r="F28" i="21"/>
  <c r="G28" i="21"/>
  <c r="H28" i="21"/>
  <c r="I28" i="21"/>
  <c r="E29" i="21"/>
  <c r="F29" i="21"/>
  <c r="G29" i="21"/>
  <c r="H29" i="21"/>
  <c r="I29" i="21"/>
  <c r="F21" i="21"/>
  <c r="G21" i="21"/>
  <c r="H21" i="21"/>
  <c r="I21" i="21"/>
  <c r="E21" i="21"/>
  <c r="B22" i="21"/>
  <c r="B23" i="21"/>
  <c r="B24" i="21"/>
  <c r="B25" i="21"/>
  <c r="B26" i="21"/>
  <c r="B27" i="21"/>
  <c r="B28" i="21"/>
  <c r="B29" i="21"/>
  <c r="B30" i="21"/>
  <c r="B31" i="21"/>
  <c r="B32" i="21"/>
  <c r="B21" i="21"/>
  <c r="F13" i="21"/>
  <c r="G13" i="21"/>
  <c r="H13" i="21"/>
  <c r="I13" i="21"/>
  <c r="E13" i="21"/>
  <c r="B15" i="21"/>
  <c r="B14" i="21"/>
  <c r="B13" i="21"/>
  <c r="E6" i="21"/>
  <c r="F6" i="21"/>
  <c r="G6" i="21"/>
  <c r="H6" i="21"/>
  <c r="I6" i="21"/>
  <c r="F5" i="21"/>
  <c r="G5" i="21"/>
  <c r="G10" i="21" s="1"/>
  <c r="H5" i="21"/>
  <c r="I5" i="21"/>
  <c r="E5" i="21"/>
  <c r="F2" i="21"/>
  <c r="F39" i="21" s="1"/>
  <c r="F51" i="21" s="1"/>
  <c r="G2" i="21"/>
  <c r="G39" i="21" s="1"/>
  <c r="G51" i="21" s="1"/>
  <c r="H2" i="21"/>
  <c r="H39" i="21" s="1"/>
  <c r="H51" i="21" s="1"/>
  <c r="I2" i="21"/>
  <c r="I39" i="21" s="1"/>
  <c r="I51" i="21" s="1"/>
  <c r="E2" i="21"/>
  <c r="E39" i="21" s="1"/>
  <c r="E51" i="21" s="1"/>
  <c r="B5" i="21"/>
  <c r="B6" i="21"/>
  <c r="B7" i="21"/>
  <c r="B8" i="21"/>
  <c r="L20" i="23" l="1"/>
  <c r="F16" i="21"/>
  <c r="E10" i="21"/>
  <c r="I46" i="21"/>
  <c r="F46" i="21"/>
  <c r="H10" i="21"/>
  <c r="I10" i="21"/>
  <c r="F10" i="21"/>
  <c r="I16" i="21"/>
  <c r="G16" i="21"/>
  <c r="G18" i="21" s="1"/>
  <c r="H16" i="21"/>
  <c r="I30" i="21"/>
  <c r="I32" i="21" s="1"/>
  <c r="H30" i="21"/>
  <c r="H32" i="21" s="1"/>
  <c r="G30" i="21"/>
  <c r="G32" i="21" s="1"/>
  <c r="H46" i="21"/>
  <c r="E30" i="21"/>
  <c r="E32" i="21" s="1"/>
  <c r="E16" i="21"/>
  <c r="F30" i="21"/>
  <c r="F32" i="21" s="1"/>
  <c r="G46" i="21"/>
  <c r="F18" i="21" l="1"/>
  <c r="F34" i="21" s="1"/>
  <c r="I18" i="21"/>
  <c r="I34" i="21" s="1"/>
  <c r="H18" i="21"/>
  <c r="H34" i="21"/>
  <c r="E18" i="21"/>
  <c r="E34" i="21" s="1"/>
  <c r="G34" i="21"/>
  <c r="N21" i="20" l="1"/>
  <c r="M21" i="20"/>
  <c r="L21" i="20"/>
  <c r="K21" i="20"/>
  <c r="J21" i="20"/>
  <c r="I21" i="20"/>
  <c r="H21" i="20"/>
  <c r="G21" i="20"/>
  <c r="F21" i="20"/>
  <c r="E21" i="20"/>
  <c r="D21" i="20"/>
  <c r="C21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N7" i="20"/>
  <c r="M7" i="20"/>
  <c r="L7" i="20"/>
  <c r="K7" i="20"/>
  <c r="J7" i="20"/>
  <c r="I7" i="20"/>
  <c r="H7" i="20"/>
  <c r="G7" i="20"/>
  <c r="F7" i="20"/>
  <c r="E7" i="20"/>
  <c r="D7" i="20"/>
  <c r="C7" i="20"/>
  <c r="N41" i="20"/>
  <c r="M41" i="20"/>
  <c r="L41" i="20"/>
  <c r="K41" i="20"/>
  <c r="J41" i="20"/>
  <c r="I41" i="20"/>
  <c r="H41" i="20"/>
  <c r="G41" i="20"/>
  <c r="F41" i="20"/>
  <c r="E41" i="20"/>
  <c r="D41" i="20"/>
  <c r="C41" i="20"/>
  <c r="J22" i="13"/>
  <c r="G6" i="19"/>
  <c r="G8" i="19" s="1"/>
  <c r="J6" i="17" l="1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9" i="17"/>
  <c r="D78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B6" i="17"/>
  <c r="J32" i="13"/>
  <c r="E33" i="13"/>
  <c r="C32" i="13"/>
  <c r="E22" i="13"/>
  <c r="I11" i="13"/>
  <c r="I12" i="13"/>
  <c r="I10" i="13"/>
  <c r="E11" i="13"/>
  <c r="E12" i="13"/>
  <c r="E13" i="13"/>
  <c r="E10" i="13"/>
  <c r="D11" i="13"/>
  <c r="D12" i="13"/>
  <c r="G12" i="13" s="1"/>
  <c r="D13" i="13"/>
  <c r="H13" i="13" s="1"/>
  <c r="D10" i="13"/>
  <c r="B11" i="13"/>
  <c r="B12" i="13"/>
  <c r="B13" i="13"/>
  <c r="B10" i="13"/>
  <c r="B4" i="13"/>
  <c r="K7" i="17" l="1"/>
  <c r="I13" i="13" s="1"/>
  <c r="I16" i="13" s="1"/>
  <c r="G10" i="13"/>
  <c r="H11" i="13"/>
  <c r="H16" i="13" s="1"/>
  <c r="H10" i="13"/>
  <c r="H15" i="13"/>
  <c r="E31" i="13" s="1"/>
  <c r="J41" i="13" s="1"/>
  <c r="J12" i="13"/>
  <c r="G13" i="13"/>
  <c r="G11" i="13"/>
  <c r="J11" i="13" s="1"/>
  <c r="C31" i="13"/>
  <c r="H12" i="13"/>
  <c r="J10" i="13"/>
  <c r="J13" i="13" l="1"/>
  <c r="I15" i="13"/>
  <c r="G16" i="13"/>
  <c r="E32" i="13"/>
  <c r="J15" i="13"/>
  <c r="J16" i="13"/>
  <c r="J30" i="13" s="1"/>
  <c r="C33" i="13"/>
  <c r="D32" i="13" s="1"/>
  <c r="G15" i="13"/>
  <c r="E35" i="13" l="1"/>
  <c r="J31" i="13" s="1"/>
  <c r="J33" i="13" s="1"/>
  <c r="J23" i="13" s="1"/>
  <c r="J25" i="13" s="1"/>
  <c r="J37" i="13" s="1"/>
  <c r="J38" i="13"/>
  <c r="D31" i="13"/>
  <c r="D35" i="13" l="1"/>
  <c r="D33" i="13"/>
  <c r="B3" i="14" l="1"/>
  <c r="B4" i="14" s="1"/>
  <c r="B5" i="14" s="1"/>
  <c r="B6" i="6" l="1"/>
  <c r="E1" i="6"/>
  <c r="J40" i="11"/>
  <c r="I40" i="11"/>
  <c r="J38" i="11"/>
  <c r="J30" i="11"/>
  <c r="I30" i="11"/>
  <c r="F29" i="11"/>
  <c r="F35" i="11" s="1"/>
  <c r="E29" i="11"/>
  <c r="E35" i="11" s="1"/>
  <c r="J28" i="11"/>
  <c r="J34" i="11" s="1"/>
  <c r="I28" i="11"/>
  <c r="I34" i="11" s="1"/>
  <c r="E27" i="11"/>
  <c r="E33" i="11" s="1"/>
  <c r="F9" i="11"/>
  <c r="E9" i="11"/>
  <c r="L3" i="11"/>
  <c r="K3" i="11"/>
  <c r="J3" i="11"/>
  <c r="I3" i="11"/>
  <c r="H3" i="11"/>
  <c r="G3" i="11"/>
  <c r="F3" i="11"/>
  <c r="E3" i="11"/>
  <c r="D3" i="11"/>
  <c r="C3" i="11"/>
  <c r="B2" i="11"/>
  <c r="E75" i="8"/>
  <c r="L74" i="8"/>
  <c r="K74" i="8"/>
  <c r="J74" i="8"/>
  <c r="I74" i="8"/>
  <c r="H74" i="8"/>
  <c r="G74" i="8"/>
  <c r="F74" i="8"/>
  <c r="E74" i="8"/>
  <c r="D74" i="8"/>
  <c r="C74" i="8"/>
  <c r="B74" i="8"/>
  <c r="L73" i="8"/>
  <c r="K73" i="8"/>
  <c r="J73" i="8"/>
  <c r="I73" i="8"/>
  <c r="H73" i="8"/>
  <c r="G73" i="8"/>
  <c r="F73" i="8"/>
  <c r="E73" i="8"/>
  <c r="D73" i="8"/>
  <c r="C73" i="8"/>
  <c r="B73" i="8"/>
  <c r="L72" i="8"/>
  <c r="K72" i="8"/>
  <c r="J72" i="8"/>
  <c r="J39" i="11" s="1"/>
  <c r="I72" i="8"/>
  <c r="H72" i="8"/>
  <c r="H40" i="11" s="1"/>
  <c r="G72" i="8"/>
  <c r="G40" i="11" s="1"/>
  <c r="F72" i="8"/>
  <c r="F75" i="8" s="1"/>
  <c r="E72" i="8"/>
  <c r="D72" i="8"/>
  <c r="C72" i="8"/>
  <c r="B72" i="8"/>
  <c r="D67" i="8"/>
  <c r="G65" i="8"/>
  <c r="L64" i="8"/>
  <c r="K64" i="8"/>
  <c r="J64" i="8"/>
  <c r="I64" i="8"/>
  <c r="H64" i="8"/>
  <c r="G64" i="8"/>
  <c r="F64" i="8"/>
  <c r="E64" i="8"/>
  <c r="D64" i="8"/>
  <c r="C64" i="8"/>
  <c r="B64" i="8"/>
  <c r="L63" i="8"/>
  <c r="K63" i="8"/>
  <c r="J63" i="8"/>
  <c r="I63" i="8"/>
  <c r="H63" i="8"/>
  <c r="G63" i="8"/>
  <c r="F63" i="8"/>
  <c r="E63" i="8"/>
  <c r="D63" i="8"/>
  <c r="C63" i="8"/>
  <c r="B63" i="8"/>
  <c r="L62" i="8"/>
  <c r="L65" i="8" s="1"/>
  <c r="K62" i="8"/>
  <c r="J62" i="8"/>
  <c r="J65" i="8" s="1"/>
  <c r="I62" i="8"/>
  <c r="I65" i="8" s="1"/>
  <c r="H62" i="8"/>
  <c r="G62" i="8"/>
  <c r="F62" i="8"/>
  <c r="F65" i="8" s="1"/>
  <c r="E62" i="8"/>
  <c r="E65" i="8" s="1"/>
  <c r="E67" i="8" s="1"/>
  <c r="E39" i="11" s="1"/>
  <c r="D62" i="8"/>
  <c r="D65" i="8" s="1"/>
  <c r="C62" i="8"/>
  <c r="B62" i="8"/>
  <c r="J60" i="8"/>
  <c r="J67" i="8" s="1"/>
  <c r="L59" i="8"/>
  <c r="K59" i="8"/>
  <c r="J59" i="8"/>
  <c r="I59" i="8"/>
  <c r="H59" i="8"/>
  <c r="G59" i="8"/>
  <c r="F59" i="8"/>
  <c r="E59" i="8"/>
  <c r="D59" i="8"/>
  <c r="C59" i="8"/>
  <c r="B59" i="8"/>
  <c r="L58" i="8"/>
  <c r="K58" i="8"/>
  <c r="J58" i="8"/>
  <c r="I58" i="8"/>
  <c r="H58" i="8"/>
  <c r="G58" i="8"/>
  <c r="F58" i="8"/>
  <c r="E58" i="8"/>
  <c r="D58" i="8"/>
  <c r="C58" i="8"/>
  <c r="B58" i="8"/>
  <c r="L57" i="8"/>
  <c r="K57" i="8"/>
  <c r="J57" i="8"/>
  <c r="I57" i="8"/>
  <c r="I60" i="8" s="1"/>
  <c r="I67" i="8" s="1"/>
  <c r="H57" i="8"/>
  <c r="H60" i="8" s="1"/>
  <c r="G57" i="8"/>
  <c r="F57" i="8"/>
  <c r="E57" i="8"/>
  <c r="D57" i="8"/>
  <c r="C57" i="8"/>
  <c r="B57" i="8"/>
  <c r="L56" i="8"/>
  <c r="L60" i="8" s="1"/>
  <c r="L67" i="8" s="1"/>
  <c r="K56" i="8"/>
  <c r="K60" i="8" s="1"/>
  <c r="J56" i="8"/>
  <c r="I56" i="8"/>
  <c r="H56" i="8"/>
  <c r="G56" i="8"/>
  <c r="G60" i="8" s="1"/>
  <c r="G67" i="8" s="1"/>
  <c r="F56" i="8"/>
  <c r="E56" i="8"/>
  <c r="E60" i="8" s="1"/>
  <c r="D56" i="8"/>
  <c r="D60" i="8" s="1"/>
  <c r="C56" i="8"/>
  <c r="C60" i="8" s="1"/>
  <c r="L53" i="8"/>
  <c r="K53" i="8"/>
  <c r="J53" i="8"/>
  <c r="I53" i="8"/>
  <c r="H53" i="8"/>
  <c r="G53" i="8"/>
  <c r="F53" i="8"/>
  <c r="E53" i="8"/>
  <c r="D53" i="8"/>
  <c r="C53" i="8"/>
  <c r="B53" i="8"/>
  <c r="L52" i="8"/>
  <c r="K52" i="8"/>
  <c r="J52" i="8"/>
  <c r="I52" i="8"/>
  <c r="H52" i="8"/>
  <c r="G52" i="8"/>
  <c r="F52" i="8"/>
  <c r="E52" i="8"/>
  <c r="D52" i="8"/>
  <c r="E31" i="11" s="1"/>
  <c r="C52" i="8"/>
  <c r="B52" i="8"/>
  <c r="L51" i="8"/>
  <c r="K51" i="8"/>
  <c r="J51" i="8"/>
  <c r="I51" i="8"/>
  <c r="H51" i="8"/>
  <c r="G51" i="8"/>
  <c r="G54" i="8" s="1"/>
  <c r="G69" i="8" s="1" a="1"/>
  <c r="G69" i="8" s="1"/>
  <c r="F51" i="8"/>
  <c r="F31" i="11" s="1"/>
  <c r="E51" i="8"/>
  <c r="E54" i="8" s="1"/>
  <c r="D51" i="8"/>
  <c r="C51" i="8"/>
  <c r="B51" i="8"/>
  <c r="L50" i="8"/>
  <c r="L54" i="8" s="1"/>
  <c r="K50" i="8"/>
  <c r="J50" i="8"/>
  <c r="J54" i="8" s="1"/>
  <c r="I50" i="8"/>
  <c r="I54" i="8" s="1"/>
  <c r="H50" i="8"/>
  <c r="H54" i="8" s="1"/>
  <c r="G50" i="8"/>
  <c r="F50" i="8"/>
  <c r="E50" i="8"/>
  <c r="D50" i="8"/>
  <c r="D54" i="8" s="1"/>
  <c r="C50" i="8"/>
  <c r="B50" i="8"/>
  <c r="K44" i="8"/>
  <c r="I44" i="8"/>
  <c r="H44" i="8"/>
  <c r="C44" i="8"/>
  <c r="L39" i="8"/>
  <c r="L44" i="8" s="1"/>
  <c r="K39" i="8"/>
  <c r="J39" i="8"/>
  <c r="J44" i="8" s="1"/>
  <c r="I39" i="8"/>
  <c r="H39" i="8"/>
  <c r="G39" i="8"/>
  <c r="G44" i="8" s="1"/>
  <c r="F39" i="8"/>
  <c r="F44" i="8" s="1"/>
  <c r="E39" i="8"/>
  <c r="E44" i="8" s="1"/>
  <c r="D39" i="8"/>
  <c r="D44" i="8" s="1"/>
  <c r="C39" i="8"/>
  <c r="L33" i="8"/>
  <c r="K33" i="8"/>
  <c r="J33" i="8"/>
  <c r="I33" i="8"/>
  <c r="H33" i="8"/>
  <c r="G33" i="8"/>
  <c r="F33" i="8"/>
  <c r="E33" i="8"/>
  <c r="D33" i="8"/>
  <c r="C33" i="8"/>
  <c r="L28" i="8"/>
  <c r="K28" i="8"/>
  <c r="D28" i="8"/>
  <c r="C28" i="8"/>
  <c r="L27" i="8"/>
  <c r="K27" i="8"/>
  <c r="J27" i="8"/>
  <c r="J28" i="8" s="1"/>
  <c r="I27" i="8"/>
  <c r="H27" i="8"/>
  <c r="G27" i="8"/>
  <c r="G28" i="8" s="1"/>
  <c r="F27" i="8"/>
  <c r="F28" i="8" s="1"/>
  <c r="E27" i="8"/>
  <c r="E28" i="8" s="1"/>
  <c r="D27" i="8"/>
  <c r="C27" i="8"/>
  <c r="L22" i="8"/>
  <c r="L18" i="11" s="1"/>
  <c r="K22" i="8"/>
  <c r="K18" i="11" s="1"/>
  <c r="D22" i="8"/>
  <c r="D18" i="11" s="1"/>
  <c r="L21" i="8"/>
  <c r="K21" i="8"/>
  <c r="J21" i="8"/>
  <c r="J22" i="8" s="1"/>
  <c r="J18" i="11" s="1"/>
  <c r="I21" i="8"/>
  <c r="I22" i="8" s="1"/>
  <c r="I18" i="11" s="1"/>
  <c r="H21" i="8"/>
  <c r="H22" i="8" s="1"/>
  <c r="H18" i="11" s="1"/>
  <c r="G21" i="8"/>
  <c r="G22" i="8" s="1"/>
  <c r="G18" i="11" s="1"/>
  <c r="F21" i="8"/>
  <c r="F22" i="8" s="1"/>
  <c r="F18" i="11" s="1"/>
  <c r="E21" i="8"/>
  <c r="E22" i="8" s="1"/>
  <c r="E18" i="11" s="1"/>
  <c r="D21" i="8"/>
  <c r="C21" i="8"/>
  <c r="J18" i="8"/>
  <c r="J24" i="8" s="1"/>
  <c r="L16" i="8"/>
  <c r="L17" i="11" s="1"/>
  <c r="D16" i="8"/>
  <c r="D17" i="11" s="1"/>
  <c r="L15" i="8"/>
  <c r="K15" i="8"/>
  <c r="J15" i="8"/>
  <c r="J16" i="8" s="1"/>
  <c r="J17" i="11" s="1"/>
  <c r="I15" i="8"/>
  <c r="I16" i="8" s="1"/>
  <c r="I17" i="11" s="1"/>
  <c r="H15" i="8"/>
  <c r="G15" i="8"/>
  <c r="G16" i="8" s="1"/>
  <c r="G17" i="11" s="1"/>
  <c r="F15" i="8"/>
  <c r="F16" i="8" s="1"/>
  <c r="F17" i="11" s="1"/>
  <c r="E15" i="8"/>
  <c r="E16" i="8" s="1"/>
  <c r="E17" i="11" s="1"/>
  <c r="D15" i="8"/>
  <c r="C15" i="8"/>
  <c r="J13" i="8"/>
  <c r="J11" i="11" s="1"/>
  <c r="L12" i="8"/>
  <c r="J12" i="8"/>
  <c r="D12" i="8"/>
  <c r="L10" i="8"/>
  <c r="K10" i="8"/>
  <c r="F10" i="8"/>
  <c r="D10" i="8"/>
  <c r="L9" i="8"/>
  <c r="K9" i="8"/>
  <c r="J9" i="8"/>
  <c r="J10" i="8" s="1"/>
  <c r="I9" i="8"/>
  <c r="I10" i="8" s="1"/>
  <c r="H9" i="8"/>
  <c r="G9" i="8"/>
  <c r="G28" i="11" s="1"/>
  <c r="G34" i="11" s="1"/>
  <c r="F9" i="8"/>
  <c r="E9" i="8"/>
  <c r="D9" i="8"/>
  <c r="C9" i="8"/>
  <c r="J7" i="8"/>
  <c r="J5" i="11" s="1"/>
  <c r="H7" i="8"/>
  <c r="H5" i="11" s="1"/>
  <c r="G7" i="8"/>
  <c r="G5" i="11" s="1"/>
  <c r="F7" i="8"/>
  <c r="F5" i="11" s="1"/>
  <c r="L6" i="8"/>
  <c r="K6" i="8"/>
  <c r="J6" i="8"/>
  <c r="I6" i="8"/>
  <c r="H6" i="8"/>
  <c r="G6" i="8"/>
  <c r="G30" i="11" s="1"/>
  <c r="F6" i="8"/>
  <c r="F30" i="11" s="1"/>
  <c r="E6" i="8"/>
  <c r="E7" i="8" s="1"/>
  <c r="E5" i="11" s="1"/>
  <c r="D6" i="8"/>
  <c r="C6" i="8"/>
  <c r="C22" i="8" s="1"/>
  <c r="C18" i="11" s="1"/>
  <c r="L3" i="8"/>
  <c r="K3" i="8"/>
  <c r="J3" i="8"/>
  <c r="I3" i="8"/>
  <c r="H3" i="8"/>
  <c r="G3" i="8"/>
  <c r="F3" i="8"/>
  <c r="E3" i="8"/>
  <c r="D3" i="8"/>
  <c r="C3" i="8"/>
  <c r="B2" i="8"/>
  <c r="O18" i="11" l="1"/>
  <c r="N18" i="11"/>
  <c r="G35" i="21"/>
  <c r="J25" i="8"/>
  <c r="J21" i="11"/>
  <c r="J30" i="8"/>
  <c r="J25" i="11"/>
  <c r="H28" i="11"/>
  <c r="H34" i="11" s="1"/>
  <c r="H36" i="11" s="1"/>
  <c r="H10" i="8"/>
  <c r="H29" i="11"/>
  <c r="H35" i="11" s="1"/>
  <c r="J9" i="11"/>
  <c r="D39" i="11"/>
  <c r="L39" i="11"/>
  <c r="H30" i="11"/>
  <c r="H12" i="8"/>
  <c r="H31" i="11"/>
  <c r="H27" i="11"/>
  <c r="H33" i="11" s="1"/>
  <c r="D13" i="8"/>
  <c r="D11" i="11" s="1"/>
  <c r="D18" i="8"/>
  <c r="H28" i="8"/>
  <c r="D9" i="11"/>
  <c r="L9" i="11"/>
  <c r="H9" i="11"/>
  <c r="J69" i="8" a="1"/>
  <c r="J69" i="8" s="1"/>
  <c r="I31" i="11"/>
  <c r="I27" i="11"/>
  <c r="I33" i="11" s="1"/>
  <c r="I7" i="8"/>
  <c r="I5" i="11" s="1"/>
  <c r="C29" i="11"/>
  <c r="K29" i="11"/>
  <c r="K35" i="11" s="1"/>
  <c r="I12" i="8"/>
  <c r="C16" i="8"/>
  <c r="C17" i="11" s="1"/>
  <c r="I28" i="8"/>
  <c r="I9" i="11"/>
  <c r="H65" i="8"/>
  <c r="E40" i="11"/>
  <c r="E38" i="11"/>
  <c r="F27" i="11"/>
  <c r="F33" i="11" s="1"/>
  <c r="D29" i="11"/>
  <c r="D35" i="11" s="1"/>
  <c r="D69" i="8" a="1"/>
  <c r="D69" i="8" s="1"/>
  <c r="J19" i="8"/>
  <c r="J12" i="11" s="1"/>
  <c r="E69" i="8" a="1"/>
  <c r="E69" i="8" s="1"/>
  <c r="I69" i="8" a="1"/>
  <c r="I69" i="8" s="1"/>
  <c r="L29" i="11"/>
  <c r="L35" i="11" s="1"/>
  <c r="K9" i="11"/>
  <c r="L69" i="8" a="1"/>
  <c r="L69" i="8" s="1"/>
  <c r="F40" i="11"/>
  <c r="F38" i="11"/>
  <c r="K31" i="11"/>
  <c r="K27" i="11"/>
  <c r="K33" i="11" s="1"/>
  <c r="L7" i="8"/>
  <c r="L5" i="11" s="1"/>
  <c r="K7" i="8"/>
  <c r="K5" i="11" s="1"/>
  <c r="K30" i="11"/>
  <c r="K12" i="8"/>
  <c r="K16" i="8"/>
  <c r="K17" i="11" s="1"/>
  <c r="G9" i="11"/>
  <c r="H69" i="8" a="1"/>
  <c r="H69" i="8" s="1"/>
  <c r="C31" i="11"/>
  <c r="C27" i="11"/>
  <c r="D7" i="8"/>
  <c r="D5" i="11" s="1"/>
  <c r="C30" i="11"/>
  <c r="C12" i="8"/>
  <c r="E28" i="11"/>
  <c r="E34" i="11" s="1"/>
  <c r="E36" i="11" s="1"/>
  <c r="E10" i="8"/>
  <c r="C10" i="8"/>
  <c r="L13" i="8"/>
  <c r="L11" i="11" s="1"/>
  <c r="L18" i="8"/>
  <c r="D31" i="11"/>
  <c r="L31" i="11"/>
  <c r="F28" i="11"/>
  <c r="F34" i="11" s="1"/>
  <c r="F12" i="8"/>
  <c r="H16" i="8"/>
  <c r="H17" i="11" s="1"/>
  <c r="J34" i="8"/>
  <c r="C54" i="8"/>
  <c r="K54" i="8"/>
  <c r="F54" i="8"/>
  <c r="F60" i="8"/>
  <c r="F67" i="8" s="1"/>
  <c r="F39" i="11" s="1"/>
  <c r="C65" i="8"/>
  <c r="C67" i="8" s="1"/>
  <c r="C39" i="11" s="1"/>
  <c r="K65" i="8"/>
  <c r="K67" i="8" s="1"/>
  <c r="K39" i="11" s="1"/>
  <c r="I36" i="11"/>
  <c r="I38" i="11"/>
  <c r="H67" i="8"/>
  <c r="H39" i="11" s="1"/>
  <c r="J31" i="11"/>
  <c r="I39" i="11"/>
  <c r="J36" i="11"/>
  <c r="G75" i="8"/>
  <c r="G27" i="11"/>
  <c r="G33" i="11" s="1"/>
  <c r="G36" i="11" s="1"/>
  <c r="C28" i="11"/>
  <c r="K28" i="11"/>
  <c r="K34" i="11" s="1"/>
  <c r="G29" i="11"/>
  <c r="G35" i="11" s="1"/>
  <c r="G31" i="11"/>
  <c r="C38" i="11"/>
  <c r="K38" i="11"/>
  <c r="G39" i="11"/>
  <c r="C40" i="11"/>
  <c r="K40" i="11"/>
  <c r="H75" i="8"/>
  <c r="D28" i="11"/>
  <c r="D34" i="11" s="1"/>
  <c r="L28" i="11"/>
  <c r="L34" i="11" s="1"/>
  <c r="D30" i="11"/>
  <c r="L30" i="11"/>
  <c r="D38" i="11"/>
  <c r="L38" i="11"/>
  <c r="D40" i="11"/>
  <c r="L40" i="11"/>
  <c r="G10" i="8"/>
  <c r="E12" i="8"/>
  <c r="I75" i="8"/>
  <c r="I29" i="11"/>
  <c r="I35" i="11" s="1"/>
  <c r="E30" i="11"/>
  <c r="J75" i="8"/>
  <c r="J27" i="11"/>
  <c r="J33" i="11" s="1"/>
  <c r="J29" i="11"/>
  <c r="J35" i="11" s="1"/>
  <c r="G12" i="8"/>
  <c r="C75" i="8"/>
  <c r="K75" i="8"/>
  <c r="G38" i="11"/>
  <c r="E21" i="13"/>
  <c r="E24" i="13" s="1"/>
  <c r="J40" i="13" s="1"/>
  <c r="J43" i="13" s="1"/>
  <c r="C28" i="23" s="1"/>
  <c r="D75" i="8"/>
  <c r="L75" i="8"/>
  <c r="D27" i="11"/>
  <c r="D33" i="11" s="1"/>
  <c r="L27" i="11"/>
  <c r="L33" i="11" s="1"/>
  <c r="H38" i="11"/>
  <c r="G23" i="23" l="1"/>
  <c r="O39" i="11"/>
  <c r="N39" i="11"/>
  <c r="D36" i="11"/>
  <c r="F36" i="11"/>
  <c r="C13" i="8"/>
  <c r="C11" i="11" s="1"/>
  <c r="C18" i="8"/>
  <c r="D6" i="11" s="1"/>
  <c r="L36" i="11"/>
  <c r="I13" i="8"/>
  <c r="I11" i="11" s="1"/>
  <c r="I18" i="8"/>
  <c r="J31" i="8"/>
  <c r="J14" i="11" s="1"/>
  <c r="J36" i="8"/>
  <c r="K36" i="11"/>
  <c r="F69" i="8" a="1"/>
  <c r="F69" i="8" s="1"/>
  <c r="O30" i="11"/>
  <c r="N30" i="11"/>
  <c r="K13" i="8"/>
  <c r="K11" i="11" s="1"/>
  <c r="K18" i="8"/>
  <c r="C35" i="11"/>
  <c r="O29" i="11"/>
  <c r="N29" i="11"/>
  <c r="J19" i="11"/>
  <c r="J13" i="11"/>
  <c r="O17" i="11"/>
  <c r="N17" i="11"/>
  <c r="F13" i="8"/>
  <c r="F11" i="11" s="1"/>
  <c r="F18" i="8"/>
  <c r="C34" i="11"/>
  <c r="O28" i="11"/>
  <c r="N28" i="11"/>
  <c r="K69" i="8" a="1"/>
  <c r="K69" i="8" s="1"/>
  <c r="O5" i="11"/>
  <c r="N5" i="11"/>
  <c r="H18" i="8"/>
  <c r="H13" i="8"/>
  <c r="H11" i="11" s="1"/>
  <c r="E13" i="8"/>
  <c r="E11" i="11" s="1"/>
  <c r="E18" i="8"/>
  <c r="D19" i="8"/>
  <c r="D12" i="11" s="1"/>
  <c r="D24" i="8"/>
  <c r="O40" i="11"/>
  <c r="N40" i="11"/>
  <c r="L6" i="11"/>
  <c r="L19" i="8"/>
  <c r="L12" i="11" s="1"/>
  <c r="L24" i="8"/>
  <c r="C33" i="11"/>
  <c r="O27" i="11"/>
  <c r="N27" i="11"/>
  <c r="O9" i="11"/>
  <c r="N9" i="11"/>
  <c r="G44" i="21"/>
  <c r="G48" i="21" s="1"/>
  <c r="G53" i="21" s="1"/>
  <c r="G37" i="21"/>
  <c r="G54" i="21" s="1"/>
  <c r="G18" i="8"/>
  <c r="G13" i="8"/>
  <c r="G11" i="11" s="1"/>
  <c r="O38" i="11"/>
  <c r="N38" i="11"/>
  <c r="C69" i="8" a="1"/>
  <c r="C69" i="8" s="1"/>
  <c r="O31" i="11"/>
  <c r="N31" i="11"/>
  <c r="I23" i="23" l="1"/>
  <c r="I25" i="23" s="1"/>
  <c r="H23" i="23"/>
  <c r="H25" i="23" s="1"/>
  <c r="J23" i="23"/>
  <c r="J25" i="23" s="1"/>
  <c r="K23" i="23"/>
  <c r="K25" i="23" s="1"/>
  <c r="L23" i="23"/>
  <c r="L25" i="23" s="1"/>
  <c r="C31" i="23" s="1"/>
  <c r="C32" i="23" s="1"/>
  <c r="G56" i="21"/>
  <c r="D25" i="8"/>
  <c r="D30" i="8"/>
  <c r="D25" i="11"/>
  <c r="D21" i="11"/>
  <c r="J41" i="8"/>
  <c r="J37" i="8"/>
  <c r="J15" i="11" s="1"/>
  <c r="J23" i="11"/>
  <c r="O33" i="11"/>
  <c r="N33" i="11"/>
  <c r="O11" i="11"/>
  <c r="N11" i="11"/>
  <c r="G24" i="8"/>
  <c r="G19" i="8"/>
  <c r="G12" i="11" s="1"/>
  <c r="G6" i="11"/>
  <c r="E6" i="11"/>
  <c r="N6" i="11" s="1"/>
  <c r="E19" i="8"/>
  <c r="E12" i="11" s="1"/>
  <c r="E24" i="8"/>
  <c r="F19" i="8"/>
  <c r="F12" i="11" s="1"/>
  <c r="F24" i="8"/>
  <c r="F6" i="11"/>
  <c r="O35" i="11"/>
  <c r="N35" i="11"/>
  <c r="C19" i="8"/>
  <c r="C12" i="11" s="1"/>
  <c r="C24" i="8"/>
  <c r="D7" i="11" s="1"/>
  <c r="I35" i="21"/>
  <c r="L25" i="8"/>
  <c r="L25" i="11"/>
  <c r="L21" i="11"/>
  <c r="L30" i="8"/>
  <c r="C36" i="11"/>
  <c r="O34" i="11"/>
  <c r="N34" i="11"/>
  <c r="H24" i="8"/>
  <c r="H6" i="11"/>
  <c r="H19" i="8"/>
  <c r="H12" i="11" s="1"/>
  <c r="K6" i="11"/>
  <c r="K19" i="8"/>
  <c r="K12" i="11" s="1"/>
  <c r="K24" i="8"/>
  <c r="L7" i="11" s="1"/>
  <c r="I6" i="11"/>
  <c r="I19" i="8"/>
  <c r="I12" i="11" s="1"/>
  <c r="I24" i="8"/>
  <c r="J6" i="11"/>
  <c r="C33" i="23" l="1"/>
  <c r="C34" i="23" s="1"/>
  <c r="C37" i="23" s="1"/>
  <c r="C39" i="23" s="1"/>
  <c r="G29" i="23" s="1"/>
  <c r="G25" i="11"/>
  <c r="G21" i="11"/>
  <c r="G30" i="8"/>
  <c r="G7" i="11"/>
  <c r="G25" i="8"/>
  <c r="J47" i="8"/>
  <c r="J22" i="11" s="1"/>
  <c r="J24" i="11" s="1"/>
  <c r="J45" i="8"/>
  <c r="F25" i="8"/>
  <c r="F25" i="11"/>
  <c r="F21" i="11"/>
  <c r="F30" i="8"/>
  <c r="F7" i="11"/>
  <c r="F35" i="21"/>
  <c r="I7" i="11"/>
  <c r="I25" i="8"/>
  <c r="I21" i="11"/>
  <c r="I25" i="11"/>
  <c r="I30" i="8"/>
  <c r="J7" i="11"/>
  <c r="D31" i="8"/>
  <c r="D14" i="11" s="1"/>
  <c r="D36" i="8"/>
  <c r="D34" i="8"/>
  <c r="L19" i="11"/>
  <c r="L13" i="11"/>
  <c r="E25" i="8"/>
  <c r="E25" i="11"/>
  <c r="E21" i="11"/>
  <c r="E30" i="8"/>
  <c r="E7" i="11"/>
  <c r="O7" i="11" s="1"/>
  <c r="C25" i="8"/>
  <c r="C25" i="11"/>
  <c r="C21" i="11"/>
  <c r="C30" i="8"/>
  <c r="O36" i="11"/>
  <c r="N36" i="11"/>
  <c r="N12" i="11"/>
  <c r="O12" i="11"/>
  <c r="D19" i="11"/>
  <c r="D13" i="11"/>
  <c r="E35" i="21"/>
  <c r="E37" i="21" s="1"/>
  <c r="H25" i="11"/>
  <c r="H21" i="11"/>
  <c r="H30" i="8"/>
  <c r="H7" i="11"/>
  <c r="H25" i="8"/>
  <c r="O6" i="11"/>
  <c r="I44" i="21"/>
  <c r="I48" i="21" s="1"/>
  <c r="I53" i="21" s="1"/>
  <c r="I37" i="21"/>
  <c r="I54" i="21" s="1"/>
  <c r="H35" i="21"/>
  <c r="K25" i="8"/>
  <c r="K25" i="11"/>
  <c r="K21" i="11"/>
  <c r="K30" i="8"/>
  <c r="K7" i="11"/>
  <c r="L31" i="8"/>
  <c r="L14" i="11" s="1"/>
  <c r="L36" i="8"/>
  <c r="L34" i="8"/>
  <c r="I56" i="21" l="1"/>
  <c r="G13" i="11"/>
  <c r="G19" i="11"/>
  <c r="K31" i="8"/>
  <c r="K14" i="11" s="1"/>
  <c r="K36" i="8"/>
  <c r="K34" i="8"/>
  <c r="D37" i="8"/>
  <c r="D15" i="11" s="1"/>
  <c r="D23" i="11"/>
  <c r="D41" i="8"/>
  <c r="C31" i="8"/>
  <c r="C14" i="11" s="1"/>
  <c r="C36" i="8"/>
  <c r="D8" i="11" s="1"/>
  <c r="C34" i="8"/>
  <c r="E13" i="11"/>
  <c r="E19" i="11"/>
  <c r="E31" i="8"/>
  <c r="E14" i="11" s="1"/>
  <c r="E36" i="8"/>
  <c r="E34" i="8"/>
  <c r="H36" i="8"/>
  <c r="H31" i="8"/>
  <c r="H14" i="11" s="1"/>
  <c r="H34" i="8"/>
  <c r="I31" i="8"/>
  <c r="I14" i="11" s="1"/>
  <c r="I36" i="8"/>
  <c r="I34" i="8"/>
  <c r="G36" i="8"/>
  <c r="G31" i="8"/>
  <c r="G14" i="11" s="1"/>
  <c r="G34" i="8"/>
  <c r="H44" i="21"/>
  <c r="H48" i="21" s="1"/>
  <c r="H53" i="21" s="1"/>
  <c r="H37" i="21"/>
  <c r="H54" i="21" s="1"/>
  <c r="L37" i="8"/>
  <c r="L15" i="11" s="1"/>
  <c r="L8" i="11"/>
  <c r="L23" i="11"/>
  <c r="L41" i="8"/>
  <c r="O21" i="11"/>
  <c r="N21" i="11"/>
  <c r="F13" i="11"/>
  <c r="F19" i="11"/>
  <c r="K19" i="11"/>
  <c r="K13" i="11"/>
  <c r="O25" i="11"/>
  <c r="N25" i="11"/>
  <c r="I19" i="11"/>
  <c r="I13" i="11"/>
  <c r="N7" i="11"/>
  <c r="H13" i="11"/>
  <c r="H19" i="11"/>
  <c r="F44" i="21"/>
  <c r="F48" i="21" s="1"/>
  <c r="F53" i="21" s="1"/>
  <c r="F37" i="21"/>
  <c r="F54" i="21" s="1"/>
  <c r="F31" i="8"/>
  <c r="F14" i="11" s="1"/>
  <c r="F36" i="8"/>
  <c r="F34" i="8"/>
  <c r="C19" i="11"/>
  <c r="C13" i="11"/>
  <c r="D47" i="8" l="1"/>
  <c r="D22" i="11" s="1"/>
  <c r="D24" i="11" s="1"/>
  <c r="D45" i="8"/>
  <c r="E37" i="8"/>
  <c r="E15" i="11" s="1"/>
  <c r="E8" i="11"/>
  <c r="N8" i="11" s="1"/>
  <c r="E23" i="11"/>
  <c r="E41" i="8"/>
  <c r="F56" i="21"/>
  <c r="G8" i="11"/>
  <c r="G23" i="11"/>
  <c r="G41" i="8"/>
  <c r="G37" i="8"/>
  <c r="G15" i="11" s="1"/>
  <c r="L45" i="8"/>
  <c r="L47" i="8" s="1"/>
  <c r="L22" i="11" s="1"/>
  <c r="L24" i="11" s="1"/>
  <c r="I41" i="8"/>
  <c r="I37" i="8"/>
  <c r="I15" i="11" s="1"/>
  <c r="I8" i="11"/>
  <c r="I23" i="11"/>
  <c r="J8" i="11"/>
  <c r="K37" i="8"/>
  <c r="K15" i="11" s="1"/>
  <c r="K8" i="11"/>
  <c r="K23" i="11"/>
  <c r="K41" i="8"/>
  <c r="L42" i="8" s="1"/>
  <c r="O13" i="11"/>
  <c r="N13" i="11"/>
  <c r="H56" i="21"/>
  <c r="C37" i="8"/>
  <c r="C15" i="11" s="1"/>
  <c r="C23" i="11"/>
  <c r="C41" i="8"/>
  <c r="F37" i="8"/>
  <c r="F15" i="11" s="1"/>
  <c r="F8" i="11"/>
  <c r="F23" i="11"/>
  <c r="F41" i="8"/>
  <c r="O19" i="11"/>
  <c r="N19" i="11"/>
  <c r="H23" i="11"/>
  <c r="H41" i="8"/>
  <c r="H8" i="11"/>
  <c r="O8" i="11" s="1"/>
  <c r="H37" i="8"/>
  <c r="H15" i="11" s="1"/>
  <c r="O14" i="11"/>
  <c r="N14" i="11"/>
  <c r="H42" i="8" l="1"/>
  <c r="H45" i="8"/>
  <c r="H47" i="8" s="1"/>
  <c r="H22" i="11" s="1"/>
  <c r="H24" i="11" s="1"/>
  <c r="C45" i="8"/>
  <c r="C47" i="8" s="1"/>
  <c r="C22" i="11" s="1"/>
  <c r="O23" i="11"/>
  <c r="N23" i="11"/>
  <c r="O15" i="11"/>
  <c r="N15" i="11"/>
  <c r="G42" i="8"/>
  <c r="G45" i="8"/>
  <c r="G47" i="8" s="1"/>
  <c r="G22" i="11" s="1"/>
  <c r="G24" i="11" s="1"/>
  <c r="F42" i="8"/>
  <c r="F47" i="8"/>
  <c r="F22" i="11" s="1"/>
  <c r="F24" i="11" s="1"/>
  <c r="F45" i="8"/>
  <c r="D42" i="8"/>
  <c r="K47" i="8"/>
  <c r="K22" i="11" s="1"/>
  <c r="K24" i="11" s="1"/>
  <c r="K42" i="8"/>
  <c r="K45" i="8"/>
  <c r="I42" i="8"/>
  <c r="I45" i="8"/>
  <c r="I47" i="8" s="1"/>
  <c r="I22" i="11" s="1"/>
  <c r="I24" i="11" s="1"/>
  <c r="J42" i="8"/>
  <c r="I58" i="21"/>
  <c r="I59" i="21"/>
  <c r="E42" i="8"/>
  <c r="E45" i="8"/>
  <c r="E47" i="8" s="1"/>
  <c r="E22" i="11" s="1"/>
  <c r="E24" i="11" s="1"/>
  <c r="C24" i="11" l="1"/>
  <c r="O22" i="11"/>
  <c r="N22" i="11"/>
  <c r="O24" i="11" l="1"/>
  <c r="N2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<sst xmlns="http://schemas.openxmlformats.org/spreadsheetml/2006/main" count="1000" uniqueCount="634">
  <si>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</si>
  <si>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</si>
  <si>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</si>
  <si>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</si>
  <si>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</si>
  <si>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</si>
  <si>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</si>
  <si>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</si>
  <si>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</si>
  <si>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</si>
  <si>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</si>
  <si>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</si>
  <si>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</si>
  <si>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</si>
  <si>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</si>
  <si>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</si>
  <si>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</si>
  <si>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</si>
  <si>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</si>
  <si>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</si>
  <si>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</si>
  <si>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</si>
  <si>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</si>
  <si>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</si>
  <si>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</si>
  <si>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</si>
  <si>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</si>
  <si>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</si>
  <si>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</si>
  <si>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</si>
  <si>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</si>
  <si>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Debtor Days</t>
  </si>
  <si>
    <t>Inventory Turnover</t>
  </si>
  <si>
    <t>EPS</t>
  </si>
  <si>
    <t>LATEST VERSION</t>
  </si>
  <si>
    <t>CURRENT VERSION</t>
  </si>
  <si>
    <t>TATA CONSUMER PRODUCTS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</si>
  <si>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</si>
  <si>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</si>
  <si>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</si>
  <si>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</si>
  <si>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</si>
  <si>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</si>
  <si>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</si>
  <si>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</si>
  <si>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</si>
  <si>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</si>
  <si>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</si>
  <si>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</si>
  <si>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</si>
  <si>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</si>
  <si>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</si>
  <si>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</si>
  <si>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</si>
  <si>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</si>
  <si>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</si>
  <si>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</si>
  <si>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</si>
  <si>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</si>
  <si>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#</t>
  </si>
  <si>
    <t>Income Statement</t>
  </si>
  <si>
    <t>COGS</t>
  </si>
  <si>
    <t>COGS % Sales</t>
  </si>
  <si>
    <t>Gross Profit</t>
  </si>
  <si>
    <t>GP % Sales</t>
  </si>
  <si>
    <t>SG&amp;A</t>
  </si>
  <si>
    <t>SG&amp;A % Sales</t>
  </si>
  <si>
    <t>EBITDA</t>
  </si>
  <si>
    <t>EBITDA Margin</t>
  </si>
  <si>
    <t>Interest % Sales</t>
  </si>
  <si>
    <t>Depreciation % Sales</t>
  </si>
  <si>
    <t>EBIT</t>
  </si>
  <si>
    <t>EBIT Margin</t>
  </si>
  <si>
    <t>EBT</t>
  </si>
  <si>
    <t>EBT Margin</t>
  </si>
  <si>
    <t>Net Profit</t>
  </si>
  <si>
    <t>Net Profit Margin</t>
  </si>
  <si>
    <t>EPS Growth %</t>
  </si>
  <si>
    <t>Dividend Per Share</t>
  </si>
  <si>
    <t xml:space="preserve">Effective Tax Rate </t>
  </si>
  <si>
    <t>Dividend Payout Ratio</t>
  </si>
  <si>
    <t>Retained Earnings</t>
  </si>
  <si>
    <t>Balance Sheet</t>
  </si>
  <si>
    <t>Total Liabilities and Equity</t>
  </si>
  <si>
    <t>Fixed Assets</t>
  </si>
  <si>
    <t>Total Non-Current Assets</t>
  </si>
  <si>
    <t>Total Current Assets</t>
  </si>
  <si>
    <t>Total Assets</t>
  </si>
  <si>
    <t>Check</t>
  </si>
  <si>
    <t>Cash Flow Statement</t>
  </si>
  <si>
    <r>
      <t>Cash from Operating Activity </t>
    </r>
    <r>
      <rPr>
        <sz val="11"/>
        <color rgb="FF665EFD"/>
        <rFont val="Arial"/>
        <family val="2"/>
      </rPr>
      <t>-</t>
    </r>
  </si>
  <si>
    <t>Profit from operations</t>
  </si>
  <si>
    <t>Payables</t>
  </si>
  <si>
    <t>Working capital changes</t>
  </si>
  <si>
    <t>Direct taxes</t>
  </si>
  <si>
    <t>Other operating items</t>
  </si>
  <si>
    <r>
      <t>Cash from Investing Activity </t>
    </r>
    <r>
      <rPr>
        <sz val="11"/>
        <color rgb="FF665EFD"/>
        <rFont val="Arial"/>
        <family val="2"/>
      </rPr>
      <t>-</t>
    </r>
  </si>
  <si>
    <t>Fixed assets purchased</t>
  </si>
  <si>
    <t>Fixed assets sold</t>
  </si>
  <si>
    <t>Investments purchased</t>
  </si>
  <si>
    <t>Investments sold</t>
  </si>
  <si>
    <t>Investment income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</si>
  <si>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</si>
  <si>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</si>
  <si>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</si>
  <si>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</si>
  <si>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</si>
  <si>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</si>
  <si>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</si>
  <si>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</si>
  <si>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r>
      <t>Cash from Financing Activity </t>
    </r>
    <r>
      <rPr>
        <sz val="11"/>
        <color rgb="FF665EFD"/>
        <rFont val="Arial"/>
        <family val="2"/>
      </rPr>
      <t>-</t>
    </r>
  </si>
  <si>
    <t>Proceeds from shares</t>
  </si>
  <si>
    <t>Proceeds from debentures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</si>
  <si>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</si>
  <si>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</si>
  <si>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</si>
  <si>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</si>
  <si>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</si>
  <si>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</si>
  <si>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</si>
  <si>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r>
      <t>Other Liabilities </t>
    </r>
    <r>
      <rPr>
        <sz val="11"/>
        <color rgb="FF665EFD"/>
        <rFont val="Arial"/>
        <family val="2"/>
      </rPr>
      <t>-</t>
    </r>
  </si>
  <si>
    <t>Non controlling int</t>
  </si>
  <si>
    <t>Trade Payables</t>
  </si>
  <si>
    <t>Advance from Customers</t>
  </si>
  <si>
    <t>Other liability items</t>
  </si>
  <si>
    <t>EBITDA Growth</t>
  </si>
  <si>
    <t>EBIT Growth</t>
  </si>
  <si>
    <t>Net Profit Growth</t>
  </si>
  <si>
    <t>Dividend Growth</t>
  </si>
  <si>
    <t>Gross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</si>
  <si>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</si>
  <si>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</si>
  <si>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</si>
  <si>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</si>
  <si>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</si>
  <si>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</si>
  <si>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</si>
  <si>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</si>
  <si>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</si>
  <si>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</si>
  <si>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Fixed Asset Turnover</t>
  </si>
  <si>
    <t>Capital Turnover Ratio</t>
  </si>
  <si>
    <t>Payable Days</t>
  </si>
  <si>
    <t>Inventory Days</t>
  </si>
  <si>
    <t>Cash Conversion Cycle (in days)</t>
  </si>
  <si>
    <t>CFO/Sales</t>
  </si>
  <si>
    <t>CFO/Total Assets</t>
  </si>
  <si>
    <t>CFO/Total Debt</t>
  </si>
  <si>
    <t>Mean</t>
  </si>
  <si>
    <t>Median</t>
  </si>
  <si>
    <t>Trend</t>
  </si>
  <si>
    <t>Varun Beverages</t>
  </si>
  <si>
    <t>Britannia Inds.</t>
  </si>
  <si>
    <t>Godrej Consumer</t>
  </si>
  <si>
    <t>Tata Consumer</t>
  </si>
  <si>
    <t>S.No.</t>
  </si>
  <si>
    <t>Name</t>
  </si>
  <si>
    <t>CMP Rs.</t>
  </si>
  <si>
    <t>P/E</t>
  </si>
  <si>
    <t>Mar Cap Rs.Cr. </t>
  </si>
  <si>
    <t>Debt / Eq</t>
  </si>
  <si>
    <t>Debt Rs.Cr.</t>
  </si>
  <si>
    <t>Weekly 2 Year Beta</t>
  </si>
  <si>
    <t>Weighted</t>
  </si>
  <si>
    <t>all figs are in INR unless stated otherwise</t>
  </si>
  <si>
    <t>Peer Comps</t>
  </si>
  <si>
    <t>Country</t>
  </si>
  <si>
    <t>Debt</t>
  </si>
  <si>
    <t>Equity</t>
  </si>
  <si>
    <t>Tax Rate</t>
  </si>
  <si>
    <t>Levered Beta</t>
  </si>
  <si>
    <t>Debt / Equity</t>
  </si>
  <si>
    <t>Debt / Capital</t>
  </si>
  <si>
    <r>
      <t xml:space="preserve">Tax Rate </t>
    </r>
    <r>
      <rPr>
        <vertAlign val="superscript"/>
        <sz val="11"/>
        <color theme="1"/>
        <rFont val="Calibri"/>
        <family val="2"/>
        <scheme val="minor"/>
      </rPr>
      <t>1</t>
    </r>
  </si>
  <si>
    <t>Debt /  Equity</t>
  </si>
  <si>
    <r>
      <t xml:space="preserve">Levered 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Beta</t>
    </r>
  </si>
  <si>
    <r>
      <t xml:space="preserve">Unlevered </t>
    </r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Beta</t>
    </r>
  </si>
  <si>
    <t>INDIA</t>
  </si>
  <si>
    <t>Average</t>
  </si>
  <si>
    <t>Cost of Debt</t>
  </si>
  <si>
    <t>Pre-Tax Cost of Debt</t>
  </si>
  <si>
    <t>Post-Tax Cost of Debt</t>
  </si>
  <si>
    <t>Cost of Equity</t>
  </si>
  <si>
    <t>Risk Free Rate</t>
  </si>
  <si>
    <t>Equity Risk Premium</t>
  </si>
  <si>
    <t>Capital Structure</t>
  </si>
  <si>
    <t>Current</t>
  </si>
  <si>
    <t>Target</t>
  </si>
  <si>
    <t>Total Debt</t>
  </si>
  <si>
    <t>Total Equity (M.Cap)</t>
  </si>
  <si>
    <t>Total Capitalisation</t>
  </si>
  <si>
    <t>Comps Median Unlevered Beta</t>
  </si>
  <si>
    <t>Target Debt / Equity</t>
  </si>
  <si>
    <t>NIFTY Returns</t>
  </si>
  <si>
    <t>Tata Consumer Returns 2 Year Weekly</t>
  </si>
  <si>
    <t>Date</t>
  </si>
  <si>
    <t>Price</t>
  </si>
  <si>
    <t>Open</t>
  </si>
  <si>
    <t>High</t>
  </si>
  <si>
    <t>Low</t>
  </si>
  <si>
    <t>Vol.</t>
  </si>
  <si>
    <t>Change %</t>
  </si>
  <si>
    <t>06/15/2025</t>
  </si>
  <si>
    <t>6.55M</t>
  </si>
  <si>
    <t>3.35M</t>
  </si>
  <si>
    <t>3.89M</t>
  </si>
  <si>
    <t>05/25/2025</t>
  </si>
  <si>
    <t>7.04M</t>
  </si>
  <si>
    <t>05/18/2025</t>
  </si>
  <si>
    <t>4.54M</t>
  </si>
  <si>
    <t>6.63M</t>
  </si>
  <si>
    <t>8.04M</t>
  </si>
  <si>
    <t>04/27/2025</t>
  </si>
  <si>
    <t>4.62M</t>
  </si>
  <si>
    <t>04/20/2025</t>
  </si>
  <si>
    <t>10.90M</t>
  </si>
  <si>
    <t>04/13/2025</t>
  </si>
  <si>
    <t>3.24M</t>
  </si>
  <si>
    <t>8.81M</t>
  </si>
  <si>
    <t>03/30/2025</t>
  </si>
  <si>
    <t>15.45M</t>
  </si>
  <si>
    <t>03/23/2025</t>
  </si>
  <si>
    <t>9.34M</t>
  </si>
  <si>
    <t>03/16/2025</t>
  </si>
  <si>
    <t>10.55M</t>
  </si>
  <si>
    <t>6.94M</t>
  </si>
  <si>
    <t>9.38M</t>
  </si>
  <si>
    <t>02/23/2025</t>
  </si>
  <si>
    <t>9.11M</t>
  </si>
  <si>
    <t>02/16/2025</t>
  </si>
  <si>
    <t>4.71M</t>
  </si>
  <si>
    <t>6.91M</t>
  </si>
  <si>
    <t>10.37M</t>
  </si>
  <si>
    <t>01/26/2025</t>
  </si>
  <si>
    <t>11.67M</t>
  </si>
  <si>
    <t>01/19/2025</t>
  </si>
  <si>
    <t>8.18M</t>
  </si>
  <si>
    <t>9.32M</t>
  </si>
  <si>
    <t>9.92M</t>
  </si>
  <si>
    <t>12/29/2024</t>
  </si>
  <si>
    <t>7.13M</t>
  </si>
  <si>
    <t>12/22/2024</t>
  </si>
  <si>
    <t>3.56M</t>
  </si>
  <si>
    <t>12/15/2024</t>
  </si>
  <si>
    <t>8.63M</t>
  </si>
  <si>
    <t>10.22M</t>
  </si>
  <si>
    <t>7.44M</t>
  </si>
  <si>
    <t>11/24/2024</t>
  </si>
  <si>
    <t>7.21M</t>
  </si>
  <si>
    <t>11/17/2024</t>
  </si>
  <si>
    <t>7.02M</t>
  </si>
  <si>
    <t>4.98M</t>
  </si>
  <si>
    <t>5.39M</t>
  </si>
  <si>
    <t>10/27/2024</t>
  </si>
  <si>
    <t>7.26M</t>
  </si>
  <si>
    <t>10/20/2024</t>
  </si>
  <si>
    <t>20.44M</t>
  </si>
  <si>
    <t>10/13/2024</t>
  </si>
  <si>
    <t>3.95M</t>
  </si>
  <si>
    <t>6.35M</t>
  </si>
  <si>
    <t>09/29/2024</t>
  </si>
  <si>
    <t>5.80M</t>
  </si>
  <si>
    <t>09/22/2024</t>
  </si>
  <si>
    <t>13.16M</t>
  </si>
  <si>
    <t>09/15/2024</t>
  </si>
  <si>
    <t>9.64M</t>
  </si>
  <si>
    <t>9.83M</t>
  </si>
  <si>
    <t>7.42M</t>
  </si>
  <si>
    <t>08/25/2024</t>
  </si>
  <si>
    <t>5.92M</t>
  </si>
  <si>
    <t>08/18/2024</t>
  </si>
  <si>
    <t>5.05M</t>
  </si>
  <si>
    <t>3.40M</t>
  </si>
  <si>
    <t>7.57M</t>
  </si>
  <si>
    <t>07/28/2024</t>
  </si>
  <si>
    <t>9.21M</t>
  </si>
  <si>
    <t>07/21/2024</t>
  </si>
  <si>
    <t>13.62M</t>
  </si>
  <si>
    <t>07/14/2024</t>
  </si>
  <si>
    <t>7.39M</t>
  </si>
  <si>
    <t>7.59M</t>
  </si>
  <si>
    <t>06/30/2024</t>
  </si>
  <si>
    <t>10.73M</t>
  </si>
  <si>
    <t>06/23/2024</t>
  </si>
  <si>
    <t>6.33M</t>
  </si>
  <si>
    <t>06/16/2024</t>
  </si>
  <si>
    <t>5.29M</t>
  </si>
  <si>
    <t>5.75M</t>
  </si>
  <si>
    <t>15.36M</t>
  </si>
  <si>
    <t>05/26/2024</t>
  </si>
  <si>
    <t>12.07M</t>
  </si>
  <si>
    <t>05/19/2024</t>
  </si>
  <si>
    <t>6.60M</t>
  </si>
  <si>
    <t>7.88M</t>
  </si>
  <si>
    <t>7.68M</t>
  </si>
  <si>
    <t>04/28/2024</t>
  </si>
  <si>
    <t>11.26M</t>
  </si>
  <si>
    <t>04/21/2024</t>
  </si>
  <si>
    <t>20.59M</t>
  </si>
  <si>
    <t>04/14/2024</t>
  </si>
  <si>
    <t>7.87M</t>
  </si>
  <si>
    <t>6.48M</t>
  </si>
  <si>
    <t>03/31/2024</t>
  </si>
  <si>
    <t>11.64M</t>
  </si>
  <si>
    <t>03/24/2024</t>
  </si>
  <si>
    <t>11.23M</t>
  </si>
  <si>
    <t>03/17/2024</t>
  </si>
  <si>
    <t>8.73M</t>
  </si>
  <si>
    <t>10.94M</t>
  </si>
  <si>
    <t>6.78M</t>
  </si>
  <si>
    <t>02/25/2024</t>
  </si>
  <si>
    <t>9.69M</t>
  </si>
  <si>
    <t>02/18/2024</t>
  </si>
  <si>
    <t>6.51M</t>
  </si>
  <si>
    <t>5.55M</t>
  </si>
  <si>
    <t>6.83M</t>
  </si>
  <si>
    <t>01/28/2024</t>
  </si>
  <si>
    <t>11.43M</t>
  </si>
  <si>
    <t>01/21/2024</t>
  </si>
  <si>
    <t>3.47M</t>
  </si>
  <si>
    <t>01/14/2024</t>
  </si>
  <si>
    <t>9.19M</t>
  </si>
  <si>
    <t>10.89M</t>
  </si>
  <si>
    <t>12/31/2023</t>
  </si>
  <si>
    <t>8.76M</t>
  </si>
  <si>
    <t>12/24/2023</t>
  </si>
  <si>
    <t>10.81M</t>
  </si>
  <si>
    <t>12/17/2023</t>
  </si>
  <si>
    <t>12.60M</t>
  </si>
  <si>
    <t>5.31M</t>
  </si>
  <si>
    <t>4.53M</t>
  </si>
  <si>
    <t>11/26/2023</t>
  </si>
  <si>
    <t>6.14M</t>
  </si>
  <si>
    <t>11/19/2023</t>
  </si>
  <si>
    <t>4.34M</t>
  </si>
  <si>
    <t>4.96M</t>
  </si>
  <si>
    <t>9.81M</t>
  </si>
  <si>
    <t>10/29/2023</t>
  </si>
  <si>
    <t>6.98M</t>
  </si>
  <si>
    <t>10/22/2023</t>
  </si>
  <si>
    <t>5.33M</t>
  </si>
  <si>
    <t>10/15/2023</t>
  </si>
  <si>
    <t>9.82M</t>
  </si>
  <si>
    <t>9.14M</t>
  </si>
  <si>
    <t>09/24/2023</t>
  </si>
  <si>
    <t>09/17/2023</t>
  </si>
  <si>
    <t>4.75M</t>
  </si>
  <si>
    <t>9.07M</t>
  </si>
  <si>
    <t>9.55M</t>
  </si>
  <si>
    <t>08/27/2023</t>
  </si>
  <si>
    <t>4.60M</t>
  </si>
  <si>
    <t>08/20/2023</t>
  </si>
  <si>
    <t>4.67M</t>
  </si>
  <si>
    <t>08/13/2023</t>
  </si>
  <si>
    <t>3.41M</t>
  </si>
  <si>
    <t>5.99M</t>
  </si>
  <si>
    <t>07/30/2023</t>
  </si>
  <si>
    <t>6.39M</t>
  </si>
  <si>
    <t>07/23/2023</t>
  </si>
  <si>
    <t>9.65M</t>
  </si>
  <si>
    <t>07/16/2023</t>
  </si>
  <si>
    <t>6.25M</t>
  </si>
  <si>
    <t>7.56M</t>
  </si>
  <si>
    <t>06/25/2023</t>
  </si>
  <si>
    <t>6.54M</t>
  </si>
  <si>
    <t>NIFTY Returns 2 Year Weekly</t>
  </si>
  <si>
    <t>1.64B</t>
  </si>
  <si>
    <t>1.53B</t>
  </si>
  <si>
    <t>1.67B</t>
  </si>
  <si>
    <t>2.71B</t>
  </si>
  <si>
    <t>1.68B</t>
  </si>
  <si>
    <t>2.07B</t>
  </si>
  <si>
    <t>1.52B</t>
  </si>
  <si>
    <t>2.01B</t>
  </si>
  <si>
    <t>1.24B</t>
  </si>
  <si>
    <t>1.90B</t>
  </si>
  <si>
    <t>1.41B</t>
  </si>
  <si>
    <t>1.73B</t>
  </si>
  <si>
    <t>1.70B</t>
  </si>
  <si>
    <t>1.30B</t>
  </si>
  <si>
    <t>1.50B</t>
  </si>
  <si>
    <t>1.31B</t>
  </si>
  <si>
    <t>1.11B</t>
  </si>
  <si>
    <t>1.93B</t>
  </si>
  <si>
    <t>1.51B</t>
  </si>
  <si>
    <t>1.43B</t>
  </si>
  <si>
    <t>1.34B</t>
  </si>
  <si>
    <t>721.93M</t>
  </si>
  <si>
    <t>1.40B</t>
  </si>
  <si>
    <t>1.27B</t>
  </si>
  <si>
    <t>1.86B</t>
  </si>
  <si>
    <t>1.35B</t>
  </si>
  <si>
    <t>1.09B</t>
  </si>
  <si>
    <t>1.55B</t>
  </si>
  <si>
    <t>1.22B</t>
  </si>
  <si>
    <t>1.23B</t>
  </si>
  <si>
    <t>1.47B</t>
  </si>
  <si>
    <t>1.39B</t>
  </si>
  <si>
    <t>1.45B</t>
  </si>
  <si>
    <t>1.42B</t>
  </si>
  <si>
    <t>1.65B</t>
  </si>
  <si>
    <t>1.17B</t>
  </si>
  <si>
    <t>1.85B</t>
  </si>
  <si>
    <t>1.28B</t>
  </si>
  <si>
    <t>1.44B</t>
  </si>
  <si>
    <t>1.49B</t>
  </si>
  <si>
    <t>3.17B</t>
  </si>
  <si>
    <t>1.69B</t>
  </si>
  <si>
    <t>1.29B</t>
  </si>
  <si>
    <t>1.54B</t>
  </si>
  <si>
    <t>1.15B</t>
  </si>
  <si>
    <t>1.75B</t>
  </si>
  <si>
    <t>2.16B</t>
  </si>
  <si>
    <t>1.32B</t>
  </si>
  <si>
    <t>1.37B</t>
  </si>
  <si>
    <t>2.00B</t>
  </si>
  <si>
    <t>1.94B</t>
  </si>
  <si>
    <t>1.82B</t>
  </si>
  <si>
    <t>1.18B</t>
  </si>
  <si>
    <t>1.38B</t>
  </si>
  <si>
    <t>1.14B</t>
  </si>
  <si>
    <t>1.56B</t>
  </si>
  <si>
    <t>869.17M</t>
  </si>
  <si>
    <t>1.04B</t>
  </si>
  <si>
    <t>934.95M</t>
  </si>
  <si>
    <t>1.02B</t>
  </si>
  <si>
    <t>906.89M</t>
  </si>
  <si>
    <t>994.41M</t>
  </si>
  <si>
    <t>1.07B</t>
  </si>
  <si>
    <t>892.78M</t>
  </si>
  <si>
    <t>1.19B</t>
  </si>
  <si>
    <t>1.16B</t>
  </si>
  <si>
    <t>995.28M</t>
  </si>
  <si>
    <t>1.48B</t>
  </si>
  <si>
    <t>Closing Price</t>
  </si>
  <si>
    <t>Return</t>
  </si>
  <si>
    <t xml:space="preserve">Beta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</si>
  <si>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</si>
  <si>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</si>
  <si>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</si>
  <si>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</si>
  <si>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</si>
  <si>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</si>
  <si>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</si>
  <si>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</si>
  <si>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</si>
  <si>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</si>
  <si>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</si>
  <si>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</si>
  <si>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</si>
  <si>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</si>
  <si>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</si>
  <si>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</si>
  <si>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</si>
  <si>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</si>
  <si>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</si>
  <si>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</si>
  <si>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</si>
  <si>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</si>
  <si>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</si>
  <si>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Beta Calculation - 2 Year Weekly</t>
  </si>
  <si>
    <t>Year</t>
  </si>
  <si>
    <t>Annual Return</t>
  </si>
  <si>
    <t>Return on Markets</t>
  </si>
  <si>
    <t>Average Return</t>
  </si>
  <si>
    <t>Dividend Yield</t>
  </si>
  <si>
    <t>Total Market Return</t>
  </si>
  <si>
    <t>Source of Data: Primeinvestor.in</t>
  </si>
  <si>
    <t>Weighted Average Cost of Capital</t>
  </si>
  <si>
    <t>Weight of Equity</t>
  </si>
  <si>
    <t>Weight of Debt</t>
  </si>
  <si>
    <t>WACC</t>
  </si>
  <si>
    <t>1. Tax Rate is the average marginal tax %</t>
  </si>
  <si>
    <t>2. Levered Beta = UB + UB*D/E*(1-t)</t>
  </si>
  <si>
    <t>3. Unlevered Beta = LB/(1+(D/E*1-t))</t>
  </si>
  <si>
    <t>Equity Capital</t>
  </si>
  <si>
    <t>Long term Borrowings</t>
  </si>
  <si>
    <t>Short term Borrowings</t>
  </si>
  <si>
    <t>Lease Liabilities</t>
  </si>
  <si>
    <t>Other Borrowings</t>
  </si>
  <si>
    <t>Total Liabilities</t>
  </si>
  <si>
    <t>Land</t>
  </si>
  <si>
    <t>Building</t>
  </si>
  <si>
    <t>Estates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</si>
  <si>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</si>
  <si>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</si>
  <si>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</si>
  <si>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</si>
  <si>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</si>
  <si>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</si>
  <si>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</si>
  <si>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</si>
  <si>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</si>
  <si>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Inventories</t>
  </si>
  <si>
    <t>Cash Equivalents</t>
  </si>
  <si>
    <t>Loans n Advances</t>
  </si>
  <si>
    <t>Other asset items</t>
  </si>
  <si>
    <t>Total Non-Current Asset</t>
  </si>
  <si>
    <t>Assets</t>
  </si>
  <si>
    <t>Non-Current Assets</t>
  </si>
  <si>
    <t xml:space="preserve">Current Assets </t>
  </si>
  <si>
    <t xml:space="preserve">Trade receivables </t>
  </si>
  <si>
    <t>Total Equity</t>
  </si>
  <si>
    <t>Total Long Term Liabilities</t>
  </si>
  <si>
    <t>Total Other Liabilities</t>
  </si>
  <si>
    <t xml:space="preserve">Equity and Liabilities </t>
  </si>
  <si>
    <t xml:space="preserve">Other Liabilities </t>
  </si>
  <si>
    <t xml:space="preserve">Long Term Liabilities </t>
  </si>
  <si>
    <t>Calculation of ROIC</t>
  </si>
  <si>
    <t>Current Assets</t>
  </si>
  <si>
    <t>Current Liabilities</t>
  </si>
  <si>
    <t>Total Current Liabilities</t>
  </si>
  <si>
    <t>Net Working Capital</t>
  </si>
  <si>
    <t xml:space="preserve">Net Fixed Assets </t>
  </si>
  <si>
    <t>Invested Capital</t>
  </si>
  <si>
    <t>NOPAT</t>
  </si>
  <si>
    <t>ROIC</t>
  </si>
  <si>
    <t>Calculation of Reinvestment Rate</t>
  </si>
  <si>
    <t>Net Capex</t>
  </si>
  <si>
    <t>Change in WC</t>
  </si>
  <si>
    <t>Reinvestment</t>
  </si>
  <si>
    <t>Reinvestment Rate</t>
  </si>
  <si>
    <t>Calculation of Intrinsic Growth</t>
  </si>
  <si>
    <t>Growth Rate</t>
  </si>
  <si>
    <t>4 Year Average</t>
  </si>
  <si>
    <t>4 Year Median</t>
  </si>
  <si>
    <t>Revenue Forecast</t>
  </si>
  <si>
    <t>Sales Growth %</t>
  </si>
  <si>
    <t>Revenue</t>
  </si>
  <si>
    <t>4 Year Average EBIT Margin</t>
  </si>
  <si>
    <t>4 Year Median Sales Growth</t>
  </si>
  <si>
    <t>Approx.</t>
  </si>
  <si>
    <t>4 Year Average Depreciation % Sales</t>
  </si>
  <si>
    <t>CapEx</t>
  </si>
  <si>
    <t>CapEx % Sales</t>
  </si>
  <si>
    <t>4 Year Average CapEx % Sales</t>
  </si>
  <si>
    <t>Change in NWC</t>
  </si>
  <si>
    <t>% of Sales</t>
  </si>
  <si>
    <t>4 Year Median Change in NWC % Sales</t>
  </si>
  <si>
    <t>Tax %</t>
  </si>
  <si>
    <t>Mid Year Convention</t>
  </si>
  <si>
    <t>PV of FCFF</t>
  </si>
  <si>
    <t>Discounting Factor</t>
  </si>
  <si>
    <t>Terminal Growth Rate</t>
  </si>
  <si>
    <t>Terminal Value</t>
  </si>
  <si>
    <t>PV of Terminal Value</t>
  </si>
  <si>
    <t>Sum of PV FCFF</t>
  </si>
  <si>
    <t>Enterprise Value</t>
  </si>
  <si>
    <t>Add: Cash</t>
  </si>
  <si>
    <t>Less: Debt</t>
  </si>
  <si>
    <t>Equity Value</t>
  </si>
  <si>
    <t>Discounted Cash Flow Model</t>
  </si>
  <si>
    <t>Share Value</t>
  </si>
  <si>
    <t>Sensitivity Analysis</t>
  </si>
  <si>
    <t>TGR</t>
  </si>
  <si>
    <t>Unlevered FCF</t>
  </si>
  <si>
    <t>Comparable Comps Valuation</t>
  </si>
  <si>
    <t xml:space="preserve">Company </t>
  </si>
  <si>
    <t>Ticker</t>
  </si>
  <si>
    <t>Share Price</t>
  </si>
  <si>
    <t>Shares Outstanding</t>
  </si>
  <si>
    <t>Equity Val</t>
  </si>
  <si>
    <t>Net Debt</t>
  </si>
  <si>
    <t>Entrerprise Value</t>
  </si>
  <si>
    <t>Market Data</t>
  </si>
  <si>
    <t>Net Income</t>
  </si>
  <si>
    <t>Valuation</t>
  </si>
  <si>
    <t>Financials</t>
  </si>
  <si>
    <t>No. Eq. Shares Cr.</t>
  </si>
  <si>
    <t>Cash End Rs.Cr.</t>
  </si>
  <si>
    <t>Sales Rs.Cr.</t>
  </si>
  <si>
    <t>NP Ann Rs.Cr.</t>
  </si>
  <si>
    <t>Hind. Unilever</t>
  </si>
  <si>
    <t>ITC</t>
  </si>
  <si>
    <t>Nestle India</t>
  </si>
  <si>
    <t>United Spirits</t>
  </si>
  <si>
    <t>Marico</t>
  </si>
  <si>
    <t>Dabur India</t>
  </si>
  <si>
    <t>Colgate-Palmoliv</t>
  </si>
  <si>
    <t>Patanjali Foods</t>
  </si>
  <si>
    <t>United Breweries</t>
  </si>
  <si>
    <t>P &amp; G Hygiene</t>
  </si>
  <si>
    <t>Godfrey Phillips</t>
  </si>
  <si>
    <t>EV / EBITDA</t>
  </si>
  <si>
    <t>Market Value</t>
  </si>
  <si>
    <t>EV</t>
  </si>
  <si>
    <t>EBITDA / EV</t>
  </si>
  <si>
    <t>EV/EBITDA</t>
  </si>
  <si>
    <t>EV/Revenue</t>
  </si>
  <si>
    <t>75th Percentile</t>
  </si>
  <si>
    <t>25th Percentile</t>
  </si>
  <si>
    <t>TATA Consumer Comparable Valuation</t>
  </si>
  <si>
    <t>Implied Enterprise Value</t>
  </si>
  <si>
    <t>Implied Market Value</t>
  </si>
  <si>
    <t>No of Shares Outstanding</t>
  </si>
  <si>
    <t>Implied Value per Share</t>
  </si>
  <si>
    <t>Source: Screener.in</t>
  </si>
  <si>
    <t>Data Table</t>
  </si>
  <si>
    <t>Comps</t>
  </si>
  <si>
    <t>DCF Bear</t>
  </si>
  <si>
    <t>DCF Base</t>
  </si>
  <si>
    <t>DCF Bull</t>
  </si>
  <si>
    <t>52W H/L</t>
  </si>
  <si>
    <t>OpenLow</t>
  </si>
  <si>
    <t>OpenHigh</t>
  </si>
  <si>
    <t>Return on Equity</t>
  </si>
  <si>
    <t>Return on Equity (ROE)</t>
  </si>
  <si>
    <t>Average Shareholder Equity</t>
  </si>
  <si>
    <t>ROE - Dupont Equation</t>
  </si>
  <si>
    <t>Net Profit Margin (A)</t>
  </si>
  <si>
    <t>Average Total Assets</t>
  </si>
  <si>
    <t>Asset Turnover Ratio (B)</t>
  </si>
  <si>
    <t>Equity Multiplier (C)</t>
  </si>
  <si>
    <t>Return on Equity (A*B*C)</t>
  </si>
  <si>
    <t>Return on Asset</t>
  </si>
  <si>
    <t>Return on Asset (ROA)</t>
  </si>
  <si>
    <t>Average Total Asset</t>
  </si>
  <si>
    <t>ROA - Dupont Equation</t>
  </si>
  <si>
    <t>Return on Asset (A*B)</t>
  </si>
  <si>
    <t>Working Capital / Total Assets</t>
  </si>
  <si>
    <t>Working Capital</t>
  </si>
  <si>
    <t>WC / TA</t>
  </si>
  <si>
    <t>Retained Earnings / Total Assets</t>
  </si>
  <si>
    <t>RE / TA</t>
  </si>
  <si>
    <t>EBIT / Total Assets</t>
  </si>
  <si>
    <t>EBIT / TA</t>
  </si>
  <si>
    <t>Market Capitalisation / Total Liabilities</t>
  </si>
  <si>
    <t>Market Cap</t>
  </si>
  <si>
    <t>MC / TL</t>
  </si>
  <si>
    <t>Sales / Total Assets</t>
  </si>
  <si>
    <t>Sales / TA</t>
  </si>
  <si>
    <t>Final Score</t>
  </si>
  <si>
    <t>Comment</t>
  </si>
  <si>
    <t>Source: 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</si>
</sst>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#,##0.0_ ;\-#,##0.0\ "/>
    <numFmt numFmtId="167" formatCode="&quot;₹&quot;\ #,##0.0;&quot;₹&quot;\ \(#,##0.0\)\,&quot;-&quot;"/>
    <numFmt numFmtId="168" formatCode="&quot;₹&quot;\ #,##0.0;&quot;₹&quot;\ \(#,##0.0\);&quot;-&quot;"/>
    <numFmt numFmtId="169" formatCode="0.0\x"/>
    <numFmt numFmtId="170" formatCode="0.0&quot;d&quot;"/>
    <numFmt numFmtId="171" formatCode="#,##0.0;\(#,##0.0\);\-"/>
    <numFmt numFmtId="172" formatCode="#,##0.0"/>
    <numFmt numFmtId="173" formatCode="yyyy\A"/>
    <numFmt numFmtId="174" formatCode="yyyy\F"/>
    <numFmt numFmtId="175" formatCode="#,##0.0;\(#,##0.0\)\,\-"/>
    <numFmt numFmtId="176" formatCode="0.0"/>
    <numFmt numFmtId="177" formatCode="yyyy"/>
    <numFmt numFmtId="178" formatCode="#,##0.0;\-#,##0.0"/>
    <numFmt numFmtId="179" formatCode="#,##0.0\x;\(#,##0.0\)\x;\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B2B2B2"/>
      <name val="Calibri"/>
      <family val="2"/>
      <scheme val="minor"/>
    </font>
    <font>
      <sz val="11"/>
      <color rgb="FF606F7B"/>
      <name val="Arial"/>
      <family val="2"/>
    </font>
    <font>
      <sz val="11"/>
      <color rgb="FF22222F"/>
      <name val="Arial"/>
      <family val="2"/>
    </font>
    <font>
      <sz val="11"/>
      <color rgb="FF665EFD"/>
      <name val="Arial"/>
      <family val="2"/>
    </font>
    <font>
      <sz val="11"/>
      <color rgb="FF22222F"/>
      <name val="Arial"/>
      <family val="2"/>
    </font>
    <font>
      <sz val="11"/>
      <color rgb="FF22222F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/>
      <bottom style="medium">
        <color rgb="FFDBE4F0"/>
      </bottom>
      <diagonal/>
    </border>
    <border>
      <left/>
      <right/>
      <top style="medium">
        <color rgb="FFDBE4F0"/>
      </top>
      <bottom/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/>
      <top style="dotted">
        <color rgb="FF000066"/>
      </top>
      <bottom/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/>
    <xf numFmtId="9" fontId="4" fillId="0" borderId="0" applyFont="0" applyFill="0" applyBorder="0" applyAlignment="0" applyProtection="0"/>
  </cellStyleXfs>
  <cellXfs count="196">
    <xf numFmtId="0" fontId="0" fillId="0" borderId="0" xfId="0"/>
    <xf numFmtId="43" fontId="2" fillId="0" borderId="0" xfId="1" applyFont="1" applyBorder="1"/>
    <xf numFmtId="0" fontId="2" fillId="0" borderId="0" xfId="0" applyFont="1"/>
    <xf numFmtId="43" fontId="0" fillId="0" borderId="0" xfId="1" applyFont="1" applyBorder="1"/>
    <xf numFmtId="43" fontId="4" fillId="0" borderId="0" xfId="1" applyFont="1" applyBorder="1"/>
    <xf numFmtId="165" fontId="3" fillId="3" borderId="0" xfId="0" applyNumberFormat="1" applyFont="1" applyFill="1" applyAlignment="1">
      <alignment horizontal="center"/>
    </xf>
    <xf numFmtId="165" fontId="3" fillId="3" borderId="0" xfId="1" applyNumberFormat="1" applyFont="1" applyFill="1" applyBorder="1"/>
    <xf numFmtId="165" fontId="7" fillId="0" borderId="0" xfId="1" applyNumberFormat="1" applyFont="1" applyFill="1" applyBorder="1"/>
    <xf numFmtId="164" fontId="0" fillId="0" borderId="0" xfId="1" applyNumberFormat="1" applyFont="1" applyBorder="1"/>
    <xf numFmtId="0" fontId="3" fillId="4" borderId="0" xfId="0" applyFont="1" applyFill="1"/>
    <xf numFmtId="0" fontId="6" fillId="4" borderId="0" xfId="0" applyFont="1" applyFill="1"/>
    <xf numFmtId="17" fontId="3" fillId="4" borderId="0" xfId="0" applyNumberFormat="1" applyFont="1" applyFill="1"/>
    <xf numFmtId="166" fontId="0" fillId="0" borderId="0" xfId="0" applyNumberFormat="1"/>
    <xf numFmtId="10" fontId="4" fillId="0" borderId="0" xfId="4" applyNumberFormat="1" applyFont="1"/>
    <xf numFmtId="0" fontId="2" fillId="5" borderId="0" xfId="0" applyFont="1" applyFill="1"/>
    <xf numFmtId="0" fontId="0" fillId="5" borderId="0" xfId="0" applyFill="1"/>
    <xf numFmtId="0" fontId="2" fillId="0" borderId="1" xfId="0" applyFont="1" applyBorder="1"/>
    <xf numFmtId="0" fontId="8" fillId="0" borderId="0" xfId="0" applyFont="1"/>
    <xf numFmtId="10" fontId="8" fillId="0" borderId="0" xfId="4" applyNumberFormat="1" applyFont="1"/>
    <xf numFmtId="167" fontId="0" fillId="0" borderId="0" xfId="0" applyNumberFormat="1"/>
    <xf numFmtId="43" fontId="0" fillId="0" borderId="0" xfId="0" applyNumberFormat="1"/>
    <xf numFmtId="17" fontId="9" fillId="6" borderId="2" xfId="0" applyNumberFormat="1" applyFont="1" applyFill="1" applyBorder="1" applyAlignment="1">
      <alignment horizontal="right" vertical="center" wrapText="1"/>
    </xf>
    <xf numFmtId="0" fontId="10" fillId="7" borderId="3" xfId="0" applyFont="1" applyFill="1" applyBorder="1" applyAlignment="1">
      <alignment horizontal="left" vertical="center" indent="2"/>
    </xf>
    <xf numFmtId="0" fontId="10" fillId="7" borderId="3" xfId="0" applyFont="1" applyFill="1" applyBorder="1" applyAlignment="1">
      <alignment horizontal="right" vertical="center" wrapText="1"/>
    </xf>
    <xf numFmtId="3" fontId="10" fillId="7" borderId="3" xfId="0" applyNumberFormat="1" applyFont="1" applyFill="1" applyBorder="1" applyAlignment="1">
      <alignment horizontal="right" vertical="center" wrapText="1"/>
    </xf>
    <xf numFmtId="0" fontId="10" fillId="7" borderId="3" xfId="0" applyFont="1" applyFill="1" applyBorder="1" applyAlignment="1">
      <alignment horizontal="left" vertical="center"/>
    </xf>
    <xf numFmtId="0" fontId="12" fillId="7" borderId="0" xfId="0" applyFont="1" applyFill="1" applyAlignment="1">
      <alignment horizontal="left" vertical="center"/>
    </xf>
    <xf numFmtId="0" fontId="12" fillId="7" borderId="0" xfId="0" applyFont="1" applyFill="1" applyAlignment="1">
      <alignment horizontal="right" vertical="center" wrapText="1"/>
    </xf>
    <xf numFmtId="0" fontId="10" fillId="6" borderId="3" xfId="0" applyFont="1" applyFill="1" applyBorder="1" applyAlignment="1">
      <alignment horizontal="left" vertical="center" indent="2"/>
    </xf>
    <xf numFmtId="0" fontId="10" fillId="6" borderId="3" xfId="0" applyFont="1" applyFill="1" applyBorder="1" applyAlignment="1">
      <alignment horizontal="right" vertical="center" wrapText="1"/>
    </xf>
    <xf numFmtId="3" fontId="10" fillId="6" borderId="3" xfId="0" applyNumberFormat="1" applyFont="1" applyFill="1" applyBorder="1" applyAlignment="1">
      <alignment horizontal="right" vertical="center" wrapText="1"/>
    </xf>
    <xf numFmtId="0" fontId="12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right" vertical="center" wrapText="1"/>
    </xf>
    <xf numFmtId="3" fontId="12" fillId="6" borderId="0" xfId="0" applyNumberFormat="1" applyFont="1" applyFill="1" applyAlignment="1">
      <alignment horizontal="right" vertical="center" wrapText="1"/>
    </xf>
    <xf numFmtId="3" fontId="12" fillId="7" borderId="0" xfId="0" applyNumberFormat="1" applyFont="1" applyFill="1" applyAlignment="1">
      <alignment horizontal="right" vertical="center" wrapText="1"/>
    </xf>
    <xf numFmtId="168" fontId="0" fillId="0" borderId="0" xfId="0" applyNumberFormat="1"/>
    <xf numFmtId="168" fontId="2" fillId="0" borderId="1" xfId="0" applyNumberFormat="1" applyFont="1" applyBorder="1"/>
    <xf numFmtId="17" fontId="3" fillId="4" borderId="0" xfId="0" applyNumberFormat="1" applyFont="1" applyFill="1" applyAlignment="1">
      <alignment horizontal="center"/>
    </xf>
    <xf numFmtId="0" fontId="0" fillId="0" borderId="4" xfId="0" applyBorder="1"/>
    <xf numFmtId="10" fontId="7" fillId="0" borderId="4" xfId="4" applyNumberFormat="1" applyFont="1" applyBorder="1"/>
    <xf numFmtId="10" fontId="7" fillId="0" borderId="0" xfId="4" applyNumberFormat="1" applyFont="1" applyBorder="1"/>
    <xf numFmtId="10" fontId="0" fillId="0" borderId="0" xfId="0" applyNumberFormat="1"/>
    <xf numFmtId="0" fontId="0" fillId="0" borderId="5" xfId="0" applyBorder="1"/>
    <xf numFmtId="10" fontId="7" fillId="0" borderId="5" xfId="4" applyNumberFormat="1" applyFont="1" applyBorder="1"/>
    <xf numFmtId="169" fontId="0" fillId="0" borderId="5" xfId="0" applyNumberFormat="1" applyBorder="1"/>
    <xf numFmtId="169" fontId="0" fillId="0" borderId="4" xfId="0" applyNumberFormat="1" applyBorder="1"/>
    <xf numFmtId="169" fontId="0" fillId="0" borderId="0" xfId="0" applyNumberFormat="1"/>
    <xf numFmtId="170" fontId="0" fillId="0" borderId="4" xfId="0" applyNumberFormat="1" applyBorder="1"/>
    <xf numFmtId="170" fontId="0" fillId="0" borderId="0" xfId="0" applyNumberFormat="1"/>
    <xf numFmtId="170" fontId="0" fillId="0" borderId="5" xfId="0" applyNumberFormat="1" applyBorder="1"/>
    <xf numFmtId="9" fontId="0" fillId="0" borderId="0" xfId="4" applyFont="1" applyBorder="1"/>
    <xf numFmtId="0" fontId="2" fillId="0" borderId="4" xfId="0" applyFont="1" applyBorder="1"/>
    <xf numFmtId="0" fontId="2" fillId="0" borderId="5" xfId="0" applyFont="1" applyBorder="1"/>
    <xf numFmtId="10" fontId="2" fillId="0" borderId="4" xfId="0" applyNumberFormat="1" applyFont="1" applyBorder="1"/>
    <xf numFmtId="10" fontId="2" fillId="0" borderId="0" xfId="0" applyNumberFormat="1" applyFont="1"/>
    <xf numFmtId="10" fontId="2" fillId="0" borderId="5" xfId="0" applyNumberFormat="1" applyFont="1" applyBorder="1"/>
    <xf numFmtId="169" fontId="2" fillId="0" borderId="5" xfId="0" applyNumberFormat="1" applyFont="1" applyBorder="1"/>
    <xf numFmtId="169" fontId="2" fillId="0" borderId="4" xfId="0" applyNumberFormat="1" applyFont="1" applyBorder="1"/>
    <xf numFmtId="169" fontId="2" fillId="0" borderId="0" xfId="0" applyNumberFormat="1" applyFont="1"/>
    <xf numFmtId="170" fontId="2" fillId="0" borderId="4" xfId="0" applyNumberFormat="1" applyFont="1" applyBorder="1"/>
    <xf numFmtId="170" fontId="2" fillId="0" borderId="0" xfId="0" applyNumberFormat="1" applyFont="1"/>
    <xf numFmtId="170" fontId="2" fillId="0" borderId="5" xfId="0" applyNumberFormat="1" applyFont="1" applyBorder="1"/>
    <xf numFmtId="9" fontId="2" fillId="0" borderId="4" xfId="4" applyFont="1" applyBorder="1"/>
    <xf numFmtId="9" fontId="2" fillId="0" borderId="0" xfId="4" applyFont="1" applyBorder="1"/>
    <xf numFmtId="9" fontId="2" fillId="0" borderId="5" xfId="4" applyFont="1" applyBorder="1"/>
    <xf numFmtId="9" fontId="0" fillId="0" borderId="0" xfId="1" applyNumberFormat="1" applyFont="1" applyBorder="1"/>
    <xf numFmtId="0" fontId="13" fillId="8" borderId="0" xfId="0" applyFont="1" applyFill="1" applyAlignment="1">
      <alignment horizontal="left" vertical="center" indent="2"/>
    </xf>
    <xf numFmtId="0" fontId="7" fillId="8" borderId="0" xfId="2" applyFont="1" applyFill="1" applyAlignment="1" applyProtection="1">
      <alignment horizontal="left" vertical="center"/>
    </xf>
    <xf numFmtId="0" fontId="13" fillId="8" borderId="0" xfId="0" applyFont="1" applyFill="1" applyAlignment="1">
      <alignment horizontal="right" vertical="center" wrapText="1"/>
    </xf>
    <xf numFmtId="0" fontId="14" fillId="0" borderId="0" xfId="0" applyFont="1"/>
    <xf numFmtId="0" fontId="16" fillId="0" borderId="0" xfId="0" applyFont="1"/>
    <xf numFmtId="10" fontId="16" fillId="0" borderId="0" xfId="4" applyNumberFormat="1" applyFont="1"/>
    <xf numFmtId="2" fontId="0" fillId="0" borderId="0" xfId="0" applyNumberFormat="1"/>
    <xf numFmtId="9" fontId="0" fillId="0" borderId="0" xfId="4" applyFont="1"/>
    <xf numFmtId="0" fontId="0" fillId="10" borderId="0" xfId="0" applyFill="1"/>
    <xf numFmtId="0" fontId="16" fillId="10" borderId="0" xfId="0" applyFont="1" applyFill="1"/>
    <xf numFmtId="10" fontId="16" fillId="10" borderId="0" xfId="4" applyNumberFormat="1" applyFont="1" applyFill="1"/>
    <xf numFmtId="2" fontId="0" fillId="10" borderId="0" xfId="0" applyNumberFormat="1" applyFill="1"/>
    <xf numFmtId="0" fontId="2" fillId="10" borderId="0" xfId="0" applyFont="1" applyFill="1"/>
    <xf numFmtId="10" fontId="2" fillId="10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0" fontId="0" fillId="9" borderId="0" xfId="0" applyNumberFormat="1" applyFill="1"/>
    <xf numFmtId="10" fontId="0" fillId="10" borderId="0" xfId="0" applyNumberFormat="1" applyFill="1"/>
    <xf numFmtId="10" fontId="16" fillId="0" borderId="0" xfId="4" applyNumberFormat="1" applyFont="1" applyFill="1"/>
    <xf numFmtId="4" fontId="0" fillId="0" borderId="0" xfId="0" applyNumberFormat="1"/>
    <xf numFmtId="14" fontId="0" fillId="0" borderId="0" xfId="0" applyNumberFormat="1"/>
    <xf numFmtId="0" fontId="0" fillId="0" borderId="6" xfId="0" applyBorder="1"/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Continuous"/>
    </xf>
    <xf numFmtId="0" fontId="0" fillId="0" borderId="1" xfId="0" applyBorder="1" applyAlignment="1">
      <alignment wrapText="1"/>
    </xf>
    <xf numFmtId="0" fontId="2" fillId="10" borderId="4" xfId="0" applyFont="1" applyFill="1" applyBorder="1"/>
    <xf numFmtId="10" fontId="2" fillId="10" borderId="4" xfId="0" applyNumberFormat="1" applyFont="1" applyFill="1" applyBorder="1"/>
    <xf numFmtId="2" fontId="2" fillId="10" borderId="4" xfId="0" applyNumberFormat="1" applyFont="1" applyFill="1" applyBorder="1"/>
    <xf numFmtId="0" fontId="2" fillId="10" borderId="5" xfId="0" applyFont="1" applyFill="1" applyBorder="1"/>
    <xf numFmtId="10" fontId="2" fillId="10" borderId="5" xfId="0" applyNumberFormat="1" applyFont="1" applyFill="1" applyBorder="1"/>
    <xf numFmtId="2" fontId="2" fillId="10" borderId="5" xfId="0" applyNumberFormat="1" applyFont="1" applyFill="1" applyBorder="1"/>
    <xf numFmtId="0" fontId="2" fillId="0" borderId="5" xfId="0" applyFont="1" applyBorder="1" applyAlignment="1">
      <alignment horizontal="right"/>
    </xf>
    <xf numFmtId="0" fontId="0" fillId="0" borderId="8" xfId="0" applyBorder="1"/>
    <xf numFmtId="10" fontId="0" fillId="0" borderId="8" xfId="0" applyNumberFormat="1" applyBorder="1"/>
    <xf numFmtId="0" fontId="0" fillId="0" borderId="9" xfId="0" applyBorder="1"/>
    <xf numFmtId="10" fontId="0" fillId="0" borderId="9" xfId="0" applyNumberFormat="1" applyBorder="1"/>
    <xf numFmtId="10" fontId="0" fillId="0" borderId="9" xfId="4" applyNumberFormat="1" applyFont="1" applyBorder="1"/>
    <xf numFmtId="2" fontId="0" fillId="0" borderId="9" xfId="0" applyNumberFormat="1" applyBorder="1"/>
    <xf numFmtId="0" fontId="2" fillId="9" borderId="9" xfId="0" applyFont="1" applyFill="1" applyBorder="1"/>
    <xf numFmtId="10" fontId="2" fillId="9" borderId="9" xfId="0" applyNumberFormat="1" applyFont="1" applyFill="1" applyBorder="1"/>
    <xf numFmtId="0" fontId="17" fillId="0" borderId="0" xfId="0" applyFont="1"/>
    <xf numFmtId="17" fontId="0" fillId="0" borderId="0" xfId="0" applyNumberFormat="1"/>
    <xf numFmtId="3" fontId="0" fillId="0" borderId="0" xfId="0" applyNumberFormat="1"/>
    <xf numFmtId="3" fontId="2" fillId="0" borderId="0" xfId="0" applyNumberFormat="1" applyFont="1"/>
    <xf numFmtId="17" fontId="2" fillId="0" borderId="0" xfId="0" applyNumberFormat="1" applyFont="1"/>
    <xf numFmtId="3" fontId="0" fillId="0" borderId="8" xfId="0" applyNumberFormat="1" applyBorder="1"/>
    <xf numFmtId="0" fontId="2" fillId="0" borderId="10" xfId="0" applyFont="1" applyBorder="1"/>
    <xf numFmtId="3" fontId="2" fillId="0" borderId="10" xfId="0" applyNumberFormat="1" applyFont="1" applyBorder="1"/>
    <xf numFmtId="171" fontId="0" fillId="0" borderId="0" xfId="0" applyNumberFormat="1"/>
    <xf numFmtId="171" fontId="2" fillId="0" borderId="0" xfId="0" applyNumberFormat="1" applyFont="1"/>
    <xf numFmtId="9" fontId="2" fillId="0" borderId="0" xfId="4" applyFont="1"/>
    <xf numFmtId="172" fontId="0" fillId="0" borderId="0" xfId="0" applyNumberFormat="1"/>
    <xf numFmtId="9" fontId="0" fillId="0" borderId="0" xfId="0" applyNumberFormat="1"/>
    <xf numFmtId="173" fontId="3" fillId="4" borderId="0" xfId="0" applyNumberFormat="1" applyFont="1" applyFill="1"/>
    <xf numFmtId="174" fontId="3" fillId="4" borderId="0" xfId="0" applyNumberFormat="1" applyFont="1" applyFill="1"/>
    <xf numFmtId="175" fontId="0" fillId="0" borderId="0" xfId="0" applyNumberFormat="1"/>
    <xf numFmtId="0" fontId="0" fillId="0" borderId="11" xfId="0" applyBorder="1"/>
    <xf numFmtId="171" fontId="0" fillId="0" borderId="11" xfId="0" applyNumberFormat="1" applyBorder="1"/>
    <xf numFmtId="0" fontId="0" fillId="0" borderId="12" xfId="0" applyBorder="1"/>
    <xf numFmtId="171" fontId="0" fillId="0" borderId="12" xfId="0" applyNumberFormat="1" applyBorder="1"/>
    <xf numFmtId="171" fontId="0" fillId="10" borderId="0" xfId="0" applyNumberFormat="1" applyFill="1"/>
    <xf numFmtId="175" fontId="0" fillId="10" borderId="0" xfId="0" applyNumberFormat="1" applyFill="1"/>
    <xf numFmtId="9" fontId="0" fillId="10" borderId="0" xfId="4" applyFont="1" applyFill="1"/>
    <xf numFmtId="171" fontId="0" fillId="10" borderId="12" xfId="0" applyNumberFormat="1" applyFill="1" applyBorder="1"/>
    <xf numFmtId="171" fontId="0" fillId="10" borderId="11" xfId="0" applyNumberFormat="1" applyFill="1" applyBorder="1"/>
    <xf numFmtId="176" fontId="0" fillId="0" borderId="11" xfId="0" applyNumberFormat="1" applyBorder="1"/>
    <xf numFmtId="9" fontId="0" fillId="10" borderId="0" xfId="0" applyNumberFormat="1" applyFill="1"/>
    <xf numFmtId="177" fontId="2" fillId="5" borderId="0" xfId="0" applyNumberFormat="1" applyFont="1" applyFill="1"/>
    <xf numFmtId="0" fontId="0" fillId="0" borderId="13" xfId="0" applyBorder="1"/>
    <xf numFmtId="171" fontId="0" fillId="0" borderId="13" xfId="0" applyNumberFormat="1" applyBorder="1"/>
    <xf numFmtId="0" fontId="2" fillId="0" borderId="13" xfId="0" applyFont="1" applyBorder="1"/>
    <xf numFmtId="178" fontId="2" fillId="0" borderId="13" xfId="0" applyNumberFormat="1" applyFont="1" applyBorder="1"/>
    <xf numFmtId="0" fontId="2" fillId="0" borderId="8" xfId="0" applyFont="1" applyBorder="1"/>
    <xf numFmtId="0" fontId="14" fillId="10" borderId="0" xfId="0" applyFont="1" applyFill="1"/>
    <xf numFmtId="10" fontId="14" fillId="10" borderId="0" xfId="0" applyNumberFormat="1" applyFont="1" applyFill="1"/>
    <xf numFmtId="10" fontId="18" fillId="10" borderId="0" xfId="0" applyNumberFormat="1" applyFont="1" applyFill="1"/>
    <xf numFmtId="9" fontId="16" fillId="10" borderId="0" xfId="0" applyNumberFormat="1" applyFont="1" applyFill="1"/>
    <xf numFmtId="171" fontId="0" fillId="5" borderId="14" xfId="0" applyNumberFormat="1" applyFill="1" applyBorder="1"/>
    <xf numFmtId="0" fontId="19" fillId="0" borderId="0" xfId="0" applyFont="1"/>
    <xf numFmtId="9" fontId="2" fillId="0" borderId="0" xfId="0" applyNumberFormat="1" applyFont="1"/>
    <xf numFmtId="9" fontId="2" fillId="0" borderId="16" xfId="0" applyNumberFormat="1" applyFont="1" applyBorder="1"/>
    <xf numFmtId="171" fontId="0" fillId="0" borderId="16" xfId="0" applyNumberFormat="1" applyBorder="1"/>
    <xf numFmtId="9" fontId="2" fillId="0" borderId="17" xfId="0" applyNumberFormat="1" applyFont="1" applyBorder="1"/>
    <xf numFmtId="171" fontId="0" fillId="0" borderId="17" xfId="0" applyNumberFormat="1" applyBorder="1"/>
    <xf numFmtId="171" fontId="0" fillId="0" borderId="15" xfId="0" applyNumberFormat="1" applyBorder="1"/>
    <xf numFmtId="0" fontId="2" fillId="0" borderId="17" xfId="0" applyFont="1" applyBorder="1"/>
    <xf numFmtId="0" fontId="0" fillId="0" borderId="17" xfId="0" applyBorder="1"/>
    <xf numFmtId="0" fontId="3" fillId="4" borderId="0" xfId="0" applyFont="1" applyFill="1" applyAlignment="1">
      <alignment wrapText="1"/>
    </xf>
    <xf numFmtId="0" fontId="20" fillId="7" borderId="0" xfId="0" applyFont="1" applyFill="1" applyAlignment="1">
      <alignment horizontal="right" vertical="center" wrapText="1"/>
    </xf>
    <xf numFmtId="0" fontId="20" fillId="6" borderId="0" xfId="0" applyFont="1" applyFill="1" applyAlignment="1">
      <alignment horizontal="right" vertical="center" wrapText="1"/>
    </xf>
    <xf numFmtId="0" fontId="1" fillId="6" borderId="2" xfId="2" applyFont="1" applyFill="1" applyBorder="1" applyAlignment="1" applyProtection="1">
      <alignment horizontal="left" vertical="center" indent="2"/>
    </xf>
    <xf numFmtId="0" fontId="1" fillId="6" borderId="2" xfId="2" applyFont="1" applyFill="1" applyBorder="1" applyAlignment="1" applyProtection="1">
      <alignment horizontal="left" vertical="center"/>
    </xf>
    <xf numFmtId="0" fontId="1" fillId="6" borderId="2" xfId="2" applyFont="1" applyFill="1" applyBorder="1" applyAlignment="1" applyProtection="1">
      <alignment horizontal="right" vertical="center" wrapText="1"/>
    </xf>
    <xf numFmtId="0" fontId="1" fillId="7" borderId="0" xfId="2" applyFont="1" applyFill="1" applyAlignment="1" applyProtection="1">
      <alignment horizontal="left" vertical="center"/>
    </xf>
    <xf numFmtId="0" fontId="1" fillId="6" borderId="0" xfId="2" applyFont="1" applyFill="1" applyAlignment="1" applyProtection="1">
      <alignment horizontal="left" vertical="center"/>
    </xf>
    <xf numFmtId="2" fontId="20" fillId="7" borderId="0" xfId="0" applyNumberFormat="1" applyFont="1" applyFill="1" applyAlignment="1">
      <alignment horizontal="right" vertical="center" wrapText="1"/>
    </xf>
    <xf numFmtId="2" fontId="20" fillId="6" borderId="0" xfId="0" applyNumberFormat="1" applyFont="1" applyFill="1" applyAlignment="1">
      <alignment horizontal="right" vertical="center" wrapText="1"/>
    </xf>
    <xf numFmtId="0" fontId="20" fillId="9" borderId="0" xfId="0" applyFont="1" applyFill="1" applyAlignment="1">
      <alignment horizontal="left" vertical="center" indent="2"/>
    </xf>
    <xf numFmtId="0" fontId="2" fillId="5" borderId="19" xfId="0" applyFont="1" applyFill="1" applyBorder="1"/>
    <xf numFmtId="171" fontId="2" fillId="5" borderId="19" xfId="0" applyNumberFormat="1" applyFont="1" applyFill="1" applyBorder="1"/>
    <xf numFmtId="179" fontId="2" fillId="5" borderId="19" xfId="0" applyNumberFormat="1" applyFont="1" applyFill="1" applyBorder="1"/>
    <xf numFmtId="0" fontId="0" fillId="0" borderId="19" xfId="0" applyBorder="1"/>
    <xf numFmtId="171" fontId="0" fillId="0" borderId="19" xfId="0" applyNumberFormat="1" applyBorder="1"/>
    <xf numFmtId="179" fontId="0" fillId="0" borderId="19" xfId="0" applyNumberFormat="1" applyBorder="1"/>
    <xf numFmtId="0" fontId="0" fillId="9" borderId="0" xfId="0" applyFill="1"/>
    <xf numFmtId="179" fontId="0" fillId="9" borderId="0" xfId="0" applyNumberFormat="1" applyFill="1"/>
    <xf numFmtId="0" fontId="2" fillId="9" borderId="0" xfId="0" applyFont="1" applyFill="1"/>
    <xf numFmtId="179" fontId="2" fillId="9" borderId="0" xfId="0" applyNumberFormat="1" applyFont="1" applyFill="1"/>
    <xf numFmtId="0" fontId="0" fillId="0" borderId="21" xfId="0" applyBorder="1"/>
    <xf numFmtId="171" fontId="0" fillId="0" borderId="21" xfId="0" applyNumberFormat="1" applyBorder="1"/>
    <xf numFmtId="0" fontId="2" fillId="9" borderId="20" xfId="0" applyFont="1" applyFill="1" applyBorder="1"/>
    <xf numFmtId="171" fontId="2" fillId="9" borderId="20" xfId="0" applyNumberFormat="1" applyFont="1" applyFill="1" applyBorder="1"/>
    <xf numFmtId="0" fontId="0" fillId="0" borderId="22" xfId="0" applyBorder="1"/>
    <xf numFmtId="171" fontId="0" fillId="0" borderId="22" xfId="0" applyNumberFormat="1" applyBorder="1"/>
    <xf numFmtId="0" fontId="14" fillId="0" borderId="22" xfId="0" applyFont="1" applyBorder="1"/>
    <xf numFmtId="10" fontId="14" fillId="0" borderId="22" xfId="4" applyNumberFormat="1" applyFont="1" applyBorder="1"/>
    <xf numFmtId="10" fontId="14" fillId="0" borderId="22" xfId="0" applyNumberFormat="1" applyFont="1" applyBorder="1"/>
    <xf numFmtId="0" fontId="0" fillId="4" borderId="0" xfId="0" applyFill="1"/>
    <xf numFmtId="10" fontId="0" fillId="0" borderId="0" xfId="4" applyNumberFormat="1" applyFont="1"/>
    <xf numFmtId="10" fontId="2" fillId="10" borderId="0" xfId="4" applyNumberFormat="1" applyFont="1" applyFill="1"/>
    <xf numFmtId="179" fontId="2" fillId="10" borderId="0" xfId="0" applyNumberFormat="1" applyFont="1" applyFill="1"/>
    <xf numFmtId="0" fontId="2" fillId="0" borderId="12" xfId="0" applyFont="1" applyBorder="1"/>
    <xf numFmtId="171" fontId="2" fillId="0" borderId="12" xfId="0" applyNumberFormat="1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43" fontId="5" fillId="0" borderId="0" xfId="2" applyNumberFormat="1" applyBorder="1" applyAlignment="1" applyProtection="1">
      <alignment horizontal="center"/>
    </xf>
    <xf numFmtId="43" fontId="3" fillId="2" borderId="0" xfId="3" applyNumberFormat="1" applyFont="1" applyBorder="1" applyAlignment="1">
      <alignment horizontal="center"/>
    </xf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7">
    <dxf>
      <font>
        <b/>
        <i val="0"/>
        <color theme="0"/>
      </font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66"/>
      <color rgb="FF000000"/>
      <color rgb="FF0000FF"/>
      <color rgb="FFC0C0C0"/>
      <color rgb="FFCCECFF"/>
      <color rgb="FFB2B2B2"/>
      <color rgb="FFDDDDDD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ROE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0066"/>
            </a:solidFill>
            <a:ln>
              <a:noFill/>
            </a:ln>
            <a:effectLst/>
          </c:spPr>
          <c:invertIfNegative val="0"/>
          <c:cat>
            <c:numRef>
              <c:f>'Dupont Analysis'!$F$52:$L$52</c:f>
              <c:numCache>
                <c:formatCode>mmm\-yy</c:formatCode>
                <c:ptCount val="7"/>
                <c:pt idx="0">
                  <c:v>43555</c:v>
                </c:pt>
                <c:pt idx="1">
                  <c:v>43921</c:v>
                </c:pt>
                <c:pt idx="2">
                  <c:v>44286</c:v>
                </c:pt>
                <c:pt idx="3">
                  <c:v>44651</c:v>
                </c:pt>
                <c:pt idx="4">
                  <c:v>45016</c:v>
                </c:pt>
                <c:pt idx="5">
                  <c:v>45382</c:v>
                </c:pt>
                <c:pt idx="6">
                  <c:v>45747</c:v>
                </c:pt>
              </c:numCache>
            </c:numRef>
          </c:cat>
          <c:val>
            <c:numRef>
              <c:f>'Dupont Analysis'!$F$55:$L$55</c:f>
              <c:numCache>
                <c:formatCode>0.00%</c:formatCode>
                <c:ptCount val="7"/>
                <c:pt idx="0">
                  <c:v>0.1022801878956701</c:v>
                </c:pt>
                <c:pt idx="1">
                  <c:v>0.10665664139067603</c:v>
                </c:pt>
                <c:pt idx="2">
                  <c:v>9.2579129624397447E-2</c:v>
                </c:pt>
                <c:pt idx="3">
                  <c:v>9.5077409865398491E-2</c:v>
                </c:pt>
                <c:pt idx="4">
                  <c:v>9.4112891546899544E-2</c:v>
                </c:pt>
                <c:pt idx="5">
                  <c:v>0.12511976742387929</c:v>
                </c:pt>
                <c:pt idx="6">
                  <c:v>0.11010079075663647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3-4424-A1E2-A23135530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1101600"/>
        <c:axId val="651101960"/>
      </c:barChart>
      <c:catAx>
        <c:axId val="6511016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01960"/>
        <c:crosses val="autoZero"/>
        <c:auto val="0"/>
        <c:lblAlgn val="ctr"/>
        <c:lblOffset val="100"/>
        <c:noMultiLvlLbl val="0"/>
      </c:catAx>
      <c:valAx>
        <c:axId val="6511019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016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Asset Turnover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0066"/>
            </a:solidFill>
            <a:ln>
              <a:noFill/>
            </a:ln>
            <a:effectLst/>
          </c:spPr>
          <c:invertIfNegative val="0"/>
          <c:cat>
            <c:numRef>
              <c:f>'Dupont Analysis'!$F$58:$L$58</c:f>
              <c:numCache>
                <c:formatCode>mmm\-yy</c:formatCode>
                <c:ptCount val="7"/>
                <c:pt idx="0">
                  <c:v>43555</c:v>
                </c:pt>
                <c:pt idx="1">
                  <c:v>43921</c:v>
                </c:pt>
                <c:pt idx="2">
                  <c:v>44286</c:v>
                </c:pt>
                <c:pt idx="3">
                  <c:v>44651</c:v>
                </c:pt>
                <c:pt idx="4">
                  <c:v>45016</c:v>
                </c:pt>
                <c:pt idx="5">
                  <c:v>45382</c:v>
                </c:pt>
                <c:pt idx="6">
                  <c:v>45747</c:v>
                </c:pt>
              </c:numCache>
            </c:numRef>
          </c:cat>
          <c:val>
            <c:numRef>
              <c:f>'Dupont Analysis'!$F$65:$L$65</c:f>
              <c:numCache>
                <c:formatCode>#,##0.0\x;\(#,##0.0\)\x;\-</c:formatCode>
                <c:ptCount val="7"/>
                <c:pt idx="0">
                  <c:v>0.67956988844239186</c:v>
                </c:pt>
                <c:pt idx="1">
                  <c:v>0.65664045306693664</c:v>
                </c:pt>
                <c:pt idx="2">
                  <c:v>0.59972975529621209</c:v>
                </c:pt>
                <c:pt idx="3">
                  <c:v>0.60181935349816151</c:v>
                </c:pt>
                <c:pt idx="4">
                  <c:v>0.62883166322059536</c:v>
                </c:pt>
                <c:pt idx="5">
                  <c:v>0.600531819100939</c:v>
                </c:pt>
                <c:pt idx="6">
                  <c:v>0.5901347877997789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B7-4B4B-9C23-0F2E2C901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1101600"/>
        <c:axId val="651101960"/>
      </c:barChart>
      <c:catAx>
        <c:axId val="6511016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01960"/>
        <c:crosses val="autoZero"/>
        <c:auto val="0"/>
        <c:lblAlgn val="ctr"/>
        <c:lblOffset val="100"/>
        <c:noMultiLvlLbl val="0"/>
      </c:catAx>
      <c:valAx>
        <c:axId val="6511019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\x;\(#,##0.0\)\x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016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Multiplier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0066"/>
            </a:solidFill>
            <a:ln>
              <a:noFill/>
            </a:ln>
            <a:effectLst/>
          </c:spPr>
          <c:invertIfNegative val="0"/>
          <c:cat>
            <c:numRef>
              <c:f>'Dupont Analysis'!$F$58:$L$58</c:f>
              <c:numCache>
                <c:formatCode>mmm\-yy</c:formatCode>
                <c:ptCount val="7"/>
                <c:pt idx="0">
                  <c:v>43555</c:v>
                </c:pt>
                <c:pt idx="1">
                  <c:v>43921</c:v>
                </c:pt>
                <c:pt idx="2">
                  <c:v>44286</c:v>
                </c:pt>
                <c:pt idx="3">
                  <c:v>44651</c:v>
                </c:pt>
                <c:pt idx="4">
                  <c:v>45016</c:v>
                </c:pt>
                <c:pt idx="5">
                  <c:v>45382</c:v>
                </c:pt>
                <c:pt idx="6">
                  <c:v>45747</c:v>
                </c:pt>
              </c:numCache>
            </c:numRef>
          </c:cat>
          <c:val>
            <c:numRef>
              <c:f>'Dupont Analysis'!$F$69:$L$69</c:f>
              <c:numCache>
                <c:formatCode>#,##0.0\x;\(#,##0.0\)\x;\-</c:formatCode>
                <c:ptCount val="7"/>
                <c:pt idx="0">
                  <c:v>1.4858322849430738</c:v>
                </c:pt>
                <c:pt idx="1">
                  <c:v>1.3881091714724152</c:v>
                </c:pt>
                <c:pt idx="2">
                  <c:v>1.3647872950968574</c:v>
                </c:pt>
                <c:pt idx="3">
                  <c:v>1.3914295678896904</c:v>
                </c:pt>
                <c:pt idx="4">
                  <c:v>1.3952655508750376</c:v>
                </c:pt>
                <c:pt idx="5">
                  <c:v>1.5662170813552507</c:v>
                </c:pt>
                <c:pt idx="6">
                  <c:v>1.6559328102297779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D0-4773-9D31-F97E3F45B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1101600"/>
        <c:axId val="651101960"/>
      </c:barChart>
      <c:dateAx>
        <c:axId val="6511016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01960"/>
        <c:crosses val="autoZero"/>
        <c:auto val="0"/>
        <c:lblOffset val="100"/>
        <c:baseTimeUnit val="years"/>
      </c:dateAx>
      <c:valAx>
        <c:axId val="6511019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\x;\(#,##0.0\)\x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016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Profit Margin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0066"/>
            </a:solidFill>
            <a:ln>
              <a:noFill/>
            </a:ln>
            <a:effectLst/>
          </c:spPr>
          <c:invertIfNegative val="0"/>
          <c:cat>
            <c:numRef>
              <c:f>'Dupont Analysis'!$F$58:$L$58</c:f>
              <c:numCache>
                <c:formatCode>mmm\-yy</c:formatCode>
                <c:ptCount val="7"/>
                <c:pt idx="0">
                  <c:v>43555</c:v>
                </c:pt>
                <c:pt idx="1">
                  <c:v>43921</c:v>
                </c:pt>
                <c:pt idx="2">
                  <c:v>44286</c:v>
                </c:pt>
                <c:pt idx="3">
                  <c:v>44651</c:v>
                </c:pt>
                <c:pt idx="4">
                  <c:v>45016</c:v>
                </c:pt>
                <c:pt idx="5">
                  <c:v>45382</c:v>
                </c:pt>
                <c:pt idx="6">
                  <c:v>45747</c:v>
                </c:pt>
              </c:numCache>
            </c:numRef>
          </c:cat>
          <c:val>
            <c:numRef>
              <c:f>'Dupont Analysis'!$F$61:$L$61</c:f>
              <c:numCache>
                <c:formatCode>0.00%</c:formatCode>
                <c:ptCount val="7"/>
                <c:pt idx="0">
                  <c:v>0.10129490450251667</c:v>
                </c:pt>
                <c:pt idx="1">
                  <c:v>0.11701368208503936</c:v>
                </c:pt>
                <c:pt idx="2">
                  <c:v>0.11310779234323667</c:v>
                </c:pt>
                <c:pt idx="3">
                  <c:v>0.11354028089304402</c:v>
                </c:pt>
                <c:pt idx="4">
                  <c:v>0.10726495230411588</c:v>
                </c:pt>
                <c:pt idx="5">
                  <c:v>0.133026433905372</c:v>
                </c:pt>
                <c:pt idx="6">
                  <c:v>0.1126669428946039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85-40AD-AA0F-E8F87098B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1101600"/>
        <c:axId val="651101960"/>
      </c:barChart>
      <c:dateAx>
        <c:axId val="6511016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01960"/>
        <c:crosses val="autoZero"/>
        <c:auto val="0"/>
        <c:lblOffset val="100"/>
        <c:baseTimeUnit val="years"/>
      </c:dateAx>
      <c:valAx>
        <c:axId val="6511019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016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ROA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0066"/>
            </a:solidFill>
            <a:ln>
              <a:noFill/>
            </a:ln>
            <a:effectLst/>
          </c:spPr>
          <c:invertIfNegative val="0"/>
          <c:cat>
            <c:numRef>
              <c:f>'Dupont Analysis'!$F$74:$L$74</c:f>
              <c:numCache>
                <c:formatCode>mmm\-yy</c:formatCode>
                <c:ptCount val="7"/>
                <c:pt idx="0">
                  <c:v>43555</c:v>
                </c:pt>
                <c:pt idx="1">
                  <c:v>43921</c:v>
                </c:pt>
                <c:pt idx="2">
                  <c:v>44286</c:v>
                </c:pt>
                <c:pt idx="3">
                  <c:v>44651</c:v>
                </c:pt>
                <c:pt idx="4">
                  <c:v>45016</c:v>
                </c:pt>
                <c:pt idx="5">
                  <c:v>45382</c:v>
                </c:pt>
                <c:pt idx="6">
                  <c:v>45747</c:v>
                </c:pt>
              </c:numCache>
            </c:numRef>
          </c:cat>
          <c:val>
            <c:numRef>
              <c:f>'Dupont Analysis'!$F$77:$L$77</c:f>
              <c:numCache>
                <c:formatCode>0.00%</c:formatCode>
                <c:ptCount val="7"/>
                <c:pt idx="0">
                  <c:v>6.883696695255799E-2</c:v>
                </c:pt>
                <c:pt idx="1">
                  <c:v>7.6835917219350736E-2</c:v>
                </c:pt>
                <c:pt idx="2">
                  <c:v>6.7834108624104106E-2</c:v>
                </c:pt>
                <c:pt idx="3">
                  <c:v>6.8330738443051417E-2</c:v>
                </c:pt>
                <c:pt idx="4">
                  <c:v>6.7451598362675017E-2</c:v>
                </c:pt>
                <c:pt idx="5">
                  <c:v>7.9886606341703872E-2</c:v>
                </c:pt>
                <c:pt idx="6">
                  <c:v>6.6488682437156874E-2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F2-4A0C-B7B4-AB5862336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1101600"/>
        <c:axId val="651101960"/>
      </c:barChart>
      <c:dateAx>
        <c:axId val="6511016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01960"/>
        <c:crosses val="autoZero"/>
        <c:auto val="0"/>
        <c:lblOffset val="100"/>
        <c:baseTimeUnit val="years"/>
      </c:dateAx>
      <c:valAx>
        <c:axId val="6511019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016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Football Field Analysis - Valuation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24144861536896"/>
          <c:y val="0.13591084571677611"/>
          <c:w val="0.86368160710680397"/>
          <c:h val="0.75990335437460999"/>
        </c:manualLayout>
      </c:layout>
      <c:stockChart>
        <c:ser>
          <c:idx val="0"/>
          <c:order val="0"/>
          <c:tx>
            <c:strRef>
              <c:f>'Football Field Analysis'!$C$5</c:f>
              <c:strCache>
                <c:ptCount val="1"/>
                <c:pt idx="0">
                  <c:v>OpenLow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Analysis'!$B$6:$B$10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Analysis'!$C$6:$C$10</c:f>
              <c:numCache>
                <c:formatCode>#,##0.0;\(#,##0.0\);\-</c:formatCode>
                <c:ptCount val="5"/>
                <c:pt idx="0">
                  <c:v>785.67877690379976</c:v>
                </c:pt>
                <c:pt idx="1">
                  <c:v>159.60755648296683</c:v>
                </c:pt>
                <c:pt idx="2">
                  <c:v>203.58073941993885</c:v>
                </c:pt>
                <c:pt idx="3">
                  <c:v>355.55735692375697</c:v>
                </c:pt>
                <c:pt idx="4">
                  <c:v>882.9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19-41E4-AD0B-8375B6E0EDA8}"/>
            </c:ext>
          </c:extLst>
        </c:ser>
        <c:ser>
          <c:idx val="1"/>
          <c:order val="1"/>
          <c:tx>
            <c:strRef>
              <c:f>'Football Field Analysis'!$D$5</c:f>
              <c:strCache>
                <c:ptCount val="1"/>
                <c:pt idx="0">
                  <c:v>Low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2097331583552058E-2"/>
                  <c:y val="4.85764800233303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F19-41E4-AD0B-8375B6E0EDA8}"/>
                </c:ext>
              </c:extLst>
            </c:dLbl>
            <c:dLbl>
              <c:idx val="1"/>
              <c:layout>
                <c:manualLayout>
                  <c:x val="-5.2097331583552058E-2"/>
                  <c:y val="4.3946850393700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F19-41E4-AD0B-8375B6E0ED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Analysis'!$B$6:$B$10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Analysis'!$D$6:$D$10</c:f>
              <c:numCache>
                <c:formatCode>#,##0.0;\(#,##0.0\);\-</c:formatCode>
                <c:ptCount val="5"/>
                <c:pt idx="0">
                  <c:v>785.67877690379976</c:v>
                </c:pt>
                <c:pt idx="1">
                  <c:v>159.60755648296683</c:v>
                </c:pt>
                <c:pt idx="2">
                  <c:v>203.58073941993885</c:v>
                </c:pt>
                <c:pt idx="3">
                  <c:v>355.55735692375697</c:v>
                </c:pt>
                <c:pt idx="4">
                  <c:v>882.9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19-41E4-AD0B-8375B6E0EDA8}"/>
            </c:ext>
          </c:extLst>
        </c:ser>
        <c:ser>
          <c:idx val="2"/>
          <c:order val="2"/>
          <c:tx>
            <c:strRef>
              <c:f>'Football Field Analysis'!$E$5</c:f>
              <c:strCache>
                <c:ptCount val="1"/>
                <c:pt idx="0">
                  <c:v>OpenHigh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Analysis'!$B$6:$B$10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Analysis'!$E$6:$E$10</c:f>
              <c:numCache>
                <c:formatCode>#,##0.0;\(#,##0.0\);\-</c:formatCode>
                <c:ptCount val="5"/>
                <c:pt idx="0">
                  <c:v>1320.6691015321121</c:v>
                </c:pt>
                <c:pt idx="1">
                  <c:v>204.05045515209338</c:v>
                </c:pt>
                <c:pt idx="2">
                  <c:v>314.10273010005091</c:v>
                </c:pt>
                <c:pt idx="3">
                  <c:v>1866.0305281558003</c:v>
                </c:pt>
                <c:pt idx="4" formatCode="General">
                  <c:v>1247.0999999999999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19-41E4-AD0B-8375B6E0EDA8}"/>
            </c:ext>
          </c:extLst>
        </c:ser>
        <c:ser>
          <c:idx val="3"/>
          <c:order val="3"/>
          <c:tx>
            <c:strRef>
              <c:f>'Football Field Analysis'!$F$5</c:f>
              <c:strCache>
                <c:ptCount val="1"/>
                <c:pt idx="0">
                  <c:v>High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dLbl>
              <c:idx val="3"/>
              <c:numFmt formatCode="&quot;₹&quot;\ 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5F19-41E4-AD0B-8375B6E0EDA8}"/>
                </c:ext>
              </c:extLst>
            </c:dLbl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Analysis'!$B$6:$B$10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Analysis'!$F$6:$F$10</c:f>
              <c:numCache>
                <c:formatCode>#,##0.0;\(#,##0.0\);\-</c:formatCode>
                <c:ptCount val="5"/>
                <c:pt idx="0">
                  <c:v>1320.6691015321121</c:v>
                </c:pt>
                <c:pt idx="1">
                  <c:v>204.05045515209338</c:v>
                </c:pt>
                <c:pt idx="2">
                  <c:v>314.10273010005091</c:v>
                </c:pt>
                <c:pt idx="3">
                  <c:v>1866.0305281558003</c:v>
                </c:pt>
                <c:pt idx="4" formatCode="General">
                  <c:v>1247.0999999999999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19-41E4-AD0B-8375B6E0E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0066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628192368"/>
        <c:axId val="628195248"/>
      </c:stockChart>
      <c:catAx>
        <c:axId val="62819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195248"/>
        <c:crosses val="autoZero"/>
        <c:auto val="1"/>
        <c:lblAlgn val="ctr"/>
        <c:lblOffset val="150"/>
        <c:noMultiLvlLbl val="0"/>
      </c:catAx>
      <c:valAx>
        <c:axId val="6281952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;\(#,##0.0\)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19236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36860</xdr:colOff>
      <xdr:row>2</xdr:row>
      <xdr:rowOff>144691</xdr:rowOff>
    </xdr:from>
    <xdr:to>
      <xdr:col>8</xdr:col>
      <xdr:colOff>437255</xdr:colOff>
      <xdr:row>16</xdr:row>
      <xdr:rowOff>59715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E12B39-08B3-96CB-1B56-6CC5E073D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604284</xdr:colOff>
      <xdr:row>2</xdr:row>
      <xdr:rowOff>153462</xdr:rowOff>
    </xdr:from>
    <xdr:to>
      <xdr:col>17</xdr:col>
      <xdr:colOff>393308</xdr:colOff>
      <xdr:row>16</xdr:row>
      <xdr:rowOff>68486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DA52F6-34F5-6B26-6F02-776CAD035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57593</xdr:colOff>
      <xdr:row>18</xdr:row>
      <xdr:rowOff>116956</xdr:rowOff>
    </xdr:from>
    <xdr:to>
      <xdr:col>8</xdr:col>
      <xdr:colOff>457988</xdr:colOff>
      <xdr:row>32</xdr:row>
      <xdr:rowOff>31979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9371B6-0D43-6C95-BB5D-C872C2743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31011</xdr:colOff>
      <xdr:row>18</xdr:row>
      <xdr:rowOff>134679</xdr:rowOff>
    </xdr:from>
    <xdr:to>
      <xdr:col>17</xdr:col>
      <xdr:colOff>431407</xdr:colOff>
      <xdr:row>32</xdr:row>
      <xdr:rowOff>49702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E1D1A6-2E5C-875D-DF05-1EF08BC64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75243</xdr:colOff>
      <xdr:row>34</xdr:row>
      <xdr:rowOff>111107</xdr:rowOff>
    </xdr:from>
    <xdr:to>
      <xdr:col>8</xdr:col>
      <xdr:colOff>469029</xdr:colOff>
      <xdr:row>48</xdr:row>
      <xdr:rowOff>26131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2EB814C-E781-48D3-B592-0104095A56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2</xdr:row>
      <xdr:rowOff>171450</xdr:rowOff>
    </xdr:from>
    <xdr:to>
      <xdr:col>13</xdr:col>
      <xdr:colOff>594360</xdr:colOff>
      <xdr:row>19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25967C-6DA9-CE06-64BD-AB12B77F5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market/IN04/IN0401/?sort=price+to+earning&amp;order=desc" TargetMode="External"/><Relationship Id="rId3" Type="http://schemas.openxmlformats.org/officeDocument/2006/relationships/hyperlink" Target="https://www.screener.in/company/GODREJCP/consolidated/" TargetMode="External"/><Relationship Id="rId7" Type="http://schemas.openxmlformats.org/officeDocument/2006/relationships/hyperlink" Target="https://www.screener.in/market/IN04/IN0401/?sort=current+price&amp;order=desc" TargetMode="External"/><Relationship Id="rId2" Type="http://schemas.openxmlformats.org/officeDocument/2006/relationships/hyperlink" Target="https://www.screener.in/company/BRITANNIA/consolidated/" TargetMode="External"/><Relationship Id="rId1" Type="http://schemas.openxmlformats.org/officeDocument/2006/relationships/hyperlink" Target="https://www.screener.in/company/VBL/consolidated/" TargetMode="External"/><Relationship Id="rId6" Type="http://schemas.openxmlformats.org/officeDocument/2006/relationships/hyperlink" Target="https://www.screener.in/market/IN04/IN0401/?sort=name&amp;order=desc" TargetMode="External"/><Relationship Id="rId11" Type="http://schemas.openxmlformats.org/officeDocument/2006/relationships/hyperlink" Target="https://www.screener.in/market/IN04/IN0401/?sort=debt&amp;order=desc" TargetMode="External"/><Relationship Id="rId5" Type="http://schemas.openxmlformats.org/officeDocument/2006/relationships/hyperlink" Target="https://www.screener.in/market/IN04/IN0401/?order=asc" TargetMode="External"/><Relationship Id="rId10" Type="http://schemas.openxmlformats.org/officeDocument/2006/relationships/hyperlink" Target="https://www.screener.in/market/IN04/IN0401/?sort=debt+to+equity&amp;order=desc" TargetMode="External"/><Relationship Id="rId4" Type="http://schemas.openxmlformats.org/officeDocument/2006/relationships/hyperlink" Target="https://www.screener.in/company/TATACONSUM/consolidated/" TargetMode="External"/><Relationship Id="rId9" Type="http://schemas.openxmlformats.org/officeDocument/2006/relationships/hyperlink" Target="https://www.screener.in/market/IN04/IN0401/?sort=market+capitalization&amp;order=desc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market/IN04/IN0401/?sort=net+profit+last+year&amp;order=desc" TargetMode="External"/><Relationship Id="rId13" Type="http://schemas.openxmlformats.org/officeDocument/2006/relationships/hyperlink" Target="https://www.screener.in/company/VBL/consolidated/" TargetMode="External"/><Relationship Id="rId18" Type="http://schemas.openxmlformats.org/officeDocument/2006/relationships/hyperlink" Target="https://www.screener.in/company/MARICO/consolidated/" TargetMode="External"/><Relationship Id="rId3" Type="http://schemas.openxmlformats.org/officeDocument/2006/relationships/hyperlink" Target="https://www.screener.in/market/IN04/IN0401/?sort=current+price&amp;order=desc" TargetMode="External"/><Relationship Id="rId21" Type="http://schemas.openxmlformats.org/officeDocument/2006/relationships/hyperlink" Target="https://www.screener.in/company/PATANJALI/" TargetMode="External"/><Relationship Id="rId7" Type="http://schemas.openxmlformats.org/officeDocument/2006/relationships/hyperlink" Target="https://www.screener.in/market/IN04/IN0401/?sort=sales&amp;order=desc" TargetMode="External"/><Relationship Id="rId12" Type="http://schemas.openxmlformats.org/officeDocument/2006/relationships/hyperlink" Target="https://www.screener.in/company/NESTLEIND/" TargetMode="External"/><Relationship Id="rId17" Type="http://schemas.openxmlformats.org/officeDocument/2006/relationships/hyperlink" Target="https://www.screener.in/company/UNITDSPR/consolidated/" TargetMode="External"/><Relationship Id="rId2" Type="http://schemas.openxmlformats.org/officeDocument/2006/relationships/hyperlink" Target="https://www.screener.in/market/IN04/IN0401/?sort=name&amp;order=desc" TargetMode="External"/><Relationship Id="rId16" Type="http://schemas.openxmlformats.org/officeDocument/2006/relationships/hyperlink" Target="https://www.screener.in/company/TATACONSUM/consolidated/" TargetMode="External"/><Relationship Id="rId20" Type="http://schemas.openxmlformats.org/officeDocument/2006/relationships/hyperlink" Target="https://www.screener.in/company/COLPAL/" TargetMode="External"/><Relationship Id="rId1" Type="http://schemas.openxmlformats.org/officeDocument/2006/relationships/hyperlink" Target="https://www.screener.in/market/IN04/IN0401/?order=asc" TargetMode="External"/><Relationship Id="rId6" Type="http://schemas.openxmlformats.org/officeDocument/2006/relationships/hyperlink" Target="https://www.screener.in/market/IN04/IN0401/?sort=cash+end+of+last+year&amp;order=desc" TargetMode="External"/><Relationship Id="rId11" Type="http://schemas.openxmlformats.org/officeDocument/2006/relationships/hyperlink" Target="https://www.screener.in/company/ITC/consolidated/" TargetMode="External"/><Relationship Id="rId24" Type="http://schemas.openxmlformats.org/officeDocument/2006/relationships/hyperlink" Target="https://www.screener.in/company/GODFRYPHLP/consolidated/" TargetMode="External"/><Relationship Id="rId5" Type="http://schemas.openxmlformats.org/officeDocument/2006/relationships/hyperlink" Target="https://www.screener.in/market/IN04/IN0401/?sort=number+of+equity+shares&amp;order=desc" TargetMode="External"/><Relationship Id="rId15" Type="http://schemas.openxmlformats.org/officeDocument/2006/relationships/hyperlink" Target="https://www.screener.in/company/GODREJCP/consolidated/" TargetMode="External"/><Relationship Id="rId23" Type="http://schemas.openxmlformats.org/officeDocument/2006/relationships/hyperlink" Target="https://www.screener.in/company/PGHH/" TargetMode="External"/><Relationship Id="rId10" Type="http://schemas.openxmlformats.org/officeDocument/2006/relationships/hyperlink" Target="https://www.screener.in/company/HINDUNILVR/consolidated/" TargetMode="External"/><Relationship Id="rId19" Type="http://schemas.openxmlformats.org/officeDocument/2006/relationships/hyperlink" Target="https://www.screener.in/company/DABUR/consolidated/" TargetMode="External"/><Relationship Id="rId4" Type="http://schemas.openxmlformats.org/officeDocument/2006/relationships/hyperlink" Target="https://www.screener.in/market/IN04/IN0401/?sort=debt&amp;order=desc" TargetMode="External"/><Relationship Id="rId9" Type="http://schemas.openxmlformats.org/officeDocument/2006/relationships/hyperlink" Target="https://www.screener.in/market/IN04/IN0401/?sort=evebitda&amp;order=desc" TargetMode="External"/><Relationship Id="rId14" Type="http://schemas.openxmlformats.org/officeDocument/2006/relationships/hyperlink" Target="https://www.screener.in/company/BRITANNIA/consolidated/" TargetMode="External"/><Relationship Id="rId22" Type="http://schemas.openxmlformats.org/officeDocument/2006/relationships/hyperlink" Target="https://www.screener.in/company/UBL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2A01-5AAC-4925-BD35-24EB0F690C26}">
  <sheetPr>
    <tabColor rgb="FF00206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06F4-7C2F-4076-A96F-0E91FD03DB6F}">
  <sheetPr>
    <pageSetUpPr autoPageBreaks="0"/>
  </sheetPr>
  <dimension ref="A2:T75"/>
  <sheetViews>
    <sheetView showGridLines="0" workbookViewId="0">
      <pane xSplit="1" ySplit="3" topLeftCell="B5" activePane="bottomRight" state="frozen"/>
      <selection pane="topRight" activeCell="B1" sqref="B1"/>
      <selection pane="bottomLeft" activeCell="A4" sqref="A4"/>
      <selection pane="bottomRight" activeCell="C47" sqref="C47"/>
    </sheetView>
  </sheetViews>
  <sheetFormatPr defaultRowHeight="14.4" x14ac:dyDescent="0.3"/>
  <cols>
    <col min="1" max="1" width="1.88671875" customWidth="1"/>
    <col min="2" max="2" width="24.5546875" bestFit="1" customWidth="1"/>
    <col min="3" max="7" width="10.33203125" bestFit="1" customWidth="1"/>
    <col min="8" max="12" width="11.33203125" bestFit="1" customWidth="1"/>
    <col min="16" max="16" width="22" bestFit="1" customWidth="1"/>
    <col min="17" max="17" width="8" bestFit="1" customWidth="1"/>
  </cols>
  <sheetData>
    <row r="2" spans="1:13" x14ac:dyDescent="0.3">
      <c r="B2" s="9" t="str">
        <f>"Historical Financial Statements - "&amp;'Data Sheet'!$B$1</f>
        <v>Historical Financial Statements - TATA CONSUMER PRODUCTS LTD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3" x14ac:dyDescent="0.3">
      <c r="B3" s="9" t="s">
        <v>58</v>
      </c>
      <c r="C3" s="11">
        <f>'Data Sheet'!B56</f>
        <v>42460</v>
      </c>
      <c r="D3" s="11">
        <f>'Data Sheet'!C56</f>
        <v>42825</v>
      </c>
      <c r="E3" s="11">
        <f>'Data Sheet'!D56</f>
        <v>43190</v>
      </c>
      <c r="F3" s="11">
        <f>'Data Sheet'!E56</f>
        <v>43555</v>
      </c>
      <c r="G3" s="11">
        <f>'Data Sheet'!F56</f>
        <v>43921</v>
      </c>
      <c r="H3" s="11">
        <f>'Data Sheet'!G56</f>
        <v>44286</v>
      </c>
      <c r="I3" s="11">
        <f>'Data Sheet'!H56</f>
        <v>44651</v>
      </c>
      <c r="J3" s="11">
        <f>'Data Sheet'!I56</f>
        <v>45016</v>
      </c>
      <c r="K3" s="11">
        <f>'Data Sheet'!J56</f>
        <v>45382</v>
      </c>
      <c r="L3" s="11">
        <f>'Data Sheet'!K56</f>
        <v>45747</v>
      </c>
    </row>
    <row r="5" spans="1:13" x14ac:dyDescent="0.3">
      <c r="A5" t="s">
        <v>59</v>
      </c>
      <c r="B5" s="14" t="s">
        <v>60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3" x14ac:dyDescent="0.3">
      <c r="B6" t="s">
        <v>1</v>
      </c>
      <c r="C6" s="35">
        <f>'Data Sheet'!B17</f>
        <v>6636.54</v>
      </c>
      <c r="D6" s="35">
        <f>'Data Sheet'!C17</f>
        <v>6779.55</v>
      </c>
      <c r="E6" s="35">
        <f>'Data Sheet'!D17</f>
        <v>6815.35</v>
      </c>
      <c r="F6" s="35">
        <f>'Data Sheet'!E17</f>
        <v>7251.5</v>
      </c>
      <c r="G6" s="35">
        <f>'Data Sheet'!F17</f>
        <v>9637.42</v>
      </c>
      <c r="H6" s="35">
        <f>'Data Sheet'!G17</f>
        <v>11602.03</v>
      </c>
      <c r="I6" s="35">
        <f>'Data Sheet'!H17</f>
        <v>12425.37</v>
      </c>
      <c r="J6" s="35">
        <f>'Data Sheet'!I17</f>
        <v>13783.16</v>
      </c>
      <c r="K6" s="35">
        <f>'Data Sheet'!J17</f>
        <v>15205.85</v>
      </c>
      <c r="L6" s="35">
        <f>'Data Sheet'!K17</f>
        <v>17618.3</v>
      </c>
    </row>
    <row r="7" spans="1:13" x14ac:dyDescent="0.3">
      <c r="B7" s="17" t="s">
        <v>10</v>
      </c>
      <c r="C7" s="17"/>
      <c r="D7" s="18">
        <f>D6/C6-1</f>
        <v>2.1548879385945074E-2</v>
      </c>
      <c r="E7" s="18">
        <f t="shared" ref="E7:L7" si="0">E6/D6-1</f>
        <v>5.2805864696034988E-3</v>
      </c>
      <c r="F7" s="18">
        <f t="shared" si="0"/>
        <v>6.3995246025515984E-2</v>
      </c>
      <c r="G7" s="18">
        <f t="shared" si="0"/>
        <v>0.32902433979176715</v>
      </c>
      <c r="H7" s="18">
        <f t="shared" si="0"/>
        <v>0.20385227581655685</v>
      </c>
      <c r="I7" s="18">
        <f t="shared" si="0"/>
        <v>7.0965167302618593E-2</v>
      </c>
      <c r="J7" s="18">
        <f t="shared" si="0"/>
        <v>0.10927561915661266</v>
      </c>
      <c r="K7" s="18">
        <f t="shared" si="0"/>
        <v>0.10321943589133409</v>
      </c>
      <c r="L7" s="18">
        <f t="shared" si="0"/>
        <v>0.1586527553540249</v>
      </c>
      <c r="M7" s="41"/>
    </row>
    <row r="9" spans="1:13" x14ac:dyDescent="0.3">
      <c r="B9" t="s">
        <v>61</v>
      </c>
      <c r="C9" s="35">
        <f>SUM('Data Sheet'!B18,'Data Sheet'!B20,'Data Sheet'!B21,'Data Sheet'!B22,-'Data Sheet'!B19)</f>
        <v>4698.24</v>
      </c>
      <c r="D9" s="35">
        <f>SUM('Data Sheet'!C18,'Data Sheet'!C20,'Data Sheet'!C21,'Data Sheet'!C22,-'Data Sheet'!C19)</f>
        <v>4680.7100000000009</v>
      </c>
      <c r="E9" s="35">
        <f>SUM('Data Sheet'!D18,'Data Sheet'!D20,'Data Sheet'!D21,'Data Sheet'!D22,-'Data Sheet'!D19)</f>
        <v>4802.4400000000005</v>
      </c>
      <c r="F9" s="35">
        <f>SUM('Data Sheet'!E18,'Data Sheet'!E20,'Data Sheet'!E21,'Data Sheet'!E22,-'Data Sheet'!E19)</f>
        <v>5112.8100000000004</v>
      </c>
      <c r="G9" s="35">
        <f>SUM('Data Sheet'!F18,'Data Sheet'!F20,'Data Sheet'!F21,'Data Sheet'!F22,-'Data Sheet'!F19)</f>
        <v>6637.79</v>
      </c>
      <c r="H9" s="35">
        <f>SUM('Data Sheet'!G18,'Data Sheet'!G20,'Data Sheet'!G21,'Data Sheet'!G22,-'Data Sheet'!G19)</f>
        <v>8227.5899999999983</v>
      </c>
      <c r="I9" s="35">
        <f>SUM('Data Sheet'!H18,'Data Sheet'!H20,'Data Sheet'!H21,'Data Sheet'!H22,-'Data Sheet'!H19)</f>
        <v>8594.9299999999985</v>
      </c>
      <c r="J9" s="35">
        <f>SUM('Data Sheet'!I18,'Data Sheet'!I20,'Data Sheet'!I21,'Data Sheet'!I22,-'Data Sheet'!I19)</f>
        <v>9681.1700000000019</v>
      </c>
      <c r="K9" s="35">
        <f>SUM('Data Sheet'!J18,'Data Sheet'!J20,'Data Sheet'!J21,'Data Sheet'!J22,-'Data Sheet'!J19)</f>
        <v>10354.23</v>
      </c>
      <c r="L9" s="35">
        <f>SUM('Data Sheet'!K18,'Data Sheet'!K20,'Data Sheet'!K21,'Data Sheet'!K22,-'Data Sheet'!K19)</f>
        <v>12092.75</v>
      </c>
    </row>
    <row r="10" spans="1:13" x14ac:dyDescent="0.3">
      <c r="B10" s="17" t="s">
        <v>62</v>
      </c>
      <c r="C10" s="18">
        <f>C9/C6</f>
        <v>0.70793515898344617</v>
      </c>
      <c r="D10" s="18">
        <f>D9/D6</f>
        <v>0.69041603056250056</v>
      </c>
      <c r="E10" s="18">
        <f t="shared" ref="E10:L10" si="1">E9/E6</f>
        <v>0.70465053152075829</v>
      </c>
      <c r="F10" s="18">
        <f t="shared" si="1"/>
        <v>0.70506929600772261</v>
      </c>
      <c r="G10" s="18">
        <f t="shared" si="1"/>
        <v>0.68875176136351846</v>
      </c>
      <c r="H10" s="18">
        <f t="shared" si="1"/>
        <v>0.70915089859274605</v>
      </c>
      <c r="I10" s="18">
        <f t="shared" si="1"/>
        <v>0.69172427058510111</v>
      </c>
      <c r="J10" s="18">
        <f t="shared" si="1"/>
        <v>0.7023911788007976</v>
      </c>
      <c r="K10" s="18">
        <f t="shared" si="1"/>
        <v>0.68093727085299405</v>
      </c>
      <c r="L10" s="18">
        <f t="shared" si="1"/>
        <v>0.68637439480540119</v>
      </c>
    </row>
    <row r="12" spans="1:13" s="2" customFormat="1" x14ac:dyDescent="0.3">
      <c r="B12" s="16" t="s">
        <v>63</v>
      </c>
      <c r="C12" s="36">
        <f>C6-C9</f>
        <v>1938.3000000000002</v>
      </c>
      <c r="D12" s="36">
        <f t="shared" ref="D12:L12" si="2">D6-D9</f>
        <v>2098.8399999999992</v>
      </c>
      <c r="E12" s="36">
        <f t="shared" si="2"/>
        <v>2012.9099999999999</v>
      </c>
      <c r="F12" s="36">
        <f t="shared" si="2"/>
        <v>2138.6899999999996</v>
      </c>
      <c r="G12" s="36">
        <f t="shared" si="2"/>
        <v>2999.63</v>
      </c>
      <c r="H12" s="36">
        <f t="shared" si="2"/>
        <v>3374.4400000000023</v>
      </c>
      <c r="I12" s="36">
        <f t="shared" si="2"/>
        <v>3830.4400000000023</v>
      </c>
      <c r="J12" s="36">
        <f t="shared" si="2"/>
        <v>4101.989999999998</v>
      </c>
      <c r="K12" s="36">
        <f t="shared" si="2"/>
        <v>4851.6200000000008</v>
      </c>
      <c r="L12" s="36">
        <f t="shared" si="2"/>
        <v>5525.5499999999993</v>
      </c>
    </row>
    <row r="13" spans="1:13" x14ac:dyDescent="0.3">
      <c r="B13" s="17" t="s">
        <v>64</v>
      </c>
      <c r="C13" s="18">
        <f>C12/C6</f>
        <v>0.29206484101655383</v>
      </c>
      <c r="D13" s="18">
        <f t="shared" ref="D13:L13" si="3">D12/D6</f>
        <v>0.30958396943749944</v>
      </c>
      <c r="E13" s="18">
        <f t="shared" si="3"/>
        <v>0.29534946847924165</v>
      </c>
      <c r="F13" s="18">
        <f t="shared" si="3"/>
        <v>0.29493070399227739</v>
      </c>
      <c r="G13" s="18">
        <f t="shared" si="3"/>
        <v>0.31124823863648154</v>
      </c>
      <c r="H13" s="18">
        <f t="shared" si="3"/>
        <v>0.2908491014072539</v>
      </c>
      <c r="I13" s="18">
        <f t="shared" si="3"/>
        <v>0.30827572941489889</v>
      </c>
      <c r="J13" s="18">
        <f t="shared" si="3"/>
        <v>0.29760882119920234</v>
      </c>
      <c r="K13" s="18">
        <f t="shared" si="3"/>
        <v>0.31906272914700595</v>
      </c>
      <c r="L13" s="18">
        <f t="shared" si="3"/>
        <v>0.31362560519459876</v>
      </c>
    </row>
    <row r="15" spans="1:13" x14ac:dyDescent="0.3">
      <c r="B15" t="s">
        <v>65</v>
      </c>
      <c r="C15" s="35">
        <f>'Data Sheet'!B23</f>
        <v>922.88</v>
      </c>
      <c r="D15" s="35">
        <f>'Data Sheet'!C23</f>
        <v>926.92</v>
      </c>
      <c r="E15" s="35">
        <f>'Data Sheet'!D23</f>
        <v>857.64</v>
      </c>
      <c r="F15" s="35">
        <f>'Data Sheet'!E23</f>
        <v>968.23</v>
      </c>
      <c r="G15" s="35">
        <f>'Data Sheet'!F23</f>
        <v>1278.1600000000001</v>
      </c>
      <c r="H15" s="35">
        <f>'Data Sheet'!G23</f>
        <v>1421.46</v>
      </c>
      <c r="I15" s="35">
        <f>'Data Sheet'!H23</f>
        <v>1691.83</v>
      </c>
      <c r="J15" s="35">
        <f>'Data Sheet'!I23</f>
        <v>1785.26</v>
      </c>
      <c r="K15" s="35">
        <f>'Data Sheet'!J23</f>
        <v>1927.15</v>
      </c>
      <c r="L15" s="35">
        <f>'Data Sheet'!K23</f>
        <v>2253.37</v>
      </c>
    </row>
    <row r="16" spans="1:13" x14ac:dyDescent="0.3">
      <c r="B16" s="17" t="s">
        <v>66</v>
      </c>
      <c r="C16" s="18">
        <f>C15/C6</f>
        <v>0.13906041401091532</v>
      </c>
      <c r="D16" s="18">
        <f t="shared" ref="D16:L16" si="4">D15/D6</f>
        <v>0.13672293883812348</v>
      </c>
      <c r="E16" s="18">
        <f t="shared" si="4"/>
        <v>0.12583946532459814</v>
      </c>
      <c r="F16" s="18">
        <f t="shared" si="4"/>
        <v>0.13352134041232849</v>
      </c>
      <c r="G16" s="18">
        <f t="shared" si="4"/>
        <v>0.13262470661235062</v>
      </c>
      <c r="H16" s="18">
        <f t="shared" si="4"/>
        <v>0.12251821448487893</v>
      </c>
      <c r="I16" s="18">
        <f t="shared" si="4"/>
        <v>0.13615932563778782</v>
      </c>
      <c r="J16" s="18">
        <f t="shared" si="4"/>
        <v>0.12952472437380108</v>
      </c>
      <c r="K16" s="18">
        <f t="shared" si="4"/>
        <v>0.12673740698481176</v>
      </c>
      <c r="L16" s="18">
        <f t="shared" si="4"/>
        <v>0.12789940005562397</v>
      </c>
    </row>
    <row r="18" spans="2:14" x14ac:dyDescent="0.3">
      <c r="B18" s="16" t="s">
        <v>67</v>
      </c>
      <c r="C18" s="36">
        <f>C12-C15</f>
        <v>1015.4200000000002</v>
      </c>
      <c r="D18" s="36">
        <f t="shared" ref="D18:L18" si="5">D12-D15</f>
        <v>1171.9199999999992</v>
      </c>
      <c r="E18" s="36">
        <f t="shared" si="5"/>
        <v>1155.27</v>
      </c>
      <c r="F18" s="36">
        <f t="shared" si="5"/>
        <v>1170.4599999999996</v>
      </c>
      <c r="G18" s="36">
        <f t="shared" si="5"/>
        <v>1721.47</v>
      </c>
      <c r="H18" s="36">
        <f t="shared" si="5"/>
        <v>1952.9800000000023</v>
      </c>
      <c r="I18" s="36">
        <f t="shared" si="5"/>
        <v>2138.6100000000024</v>
      </c>
      <c r="J18" s="36">
        <f t="shared" si="5"/>
        <v>2316.7299999999977</v>
      </c>
      <c r="K18" s="36">
        <f t="shared" si="5"/>
        <v>2924.4700000000007</v>
      </c>
      <c r="L18" s="36">
        <f t="shared" si="5"/>
        <v>3272.1799999999994</v>
      </c>
    </row>
    <row r="19" spans="2:14" x14ac:dyDescent="0.3">
      <c r="B19" s="17" t="s">
        <v>68</v>
      </c>
      <c r="C19" s="18">
        <f>C18/C6</f>
        <v>0.15300442700563852</v>
      </c>
      <c r="D19" s="18">
        <f t="shared" ref="D19:L19" si="6">D18/D6</f>
        <v>0.17286103059937594</v>
      </c>
      <c r="E19" s="18">
        <f t="shared" si="6"/>
        <v>0.16951000315464354</v>
      </c>
      <c r="F19" s="18">
        <f t="shared" si="6"/>
        <v>0.16140936357994892</v>
      </c>
      <c r="G19" s="18">
        <f t="shared" si="6"/>
        <v>0.17862353202413095</v>
      </c>
      <c r="H19" s="18">
        <f t="shared" si="6"/>
        <v>0.16833088692237497</v>
      </c>
      <c r="I19" s="18">
        <f t="shared" si="6"/>
        <v>0.17211640377711104</v>
      </c>
      <c r="J19" s="18">
        <f t="shared" si="6"/>
        <v>0.16808409682540126</v>
      </c>
      <c r="K19" s="18">
        <f t="shared" si="6"/>
        <v>0.1923253221621942</v>
      </c>
      <c r="L19" s="18">
        <f t="shared" si="6"/>
        <v>0.18572620513897478</v>
      </c>
    </row>
    <row r="21" spans="2:14" x14ac:dyDescent="0.3">
      <c r="B21" t="s">
        <v>5</v>
      </c>
      <c r="C21" s="35">
        <f>'Data Sheet'!B26</f>
        <v>116.79</v>
      </c>
      <c r="D21" s="35">
        <f>'Data Sheet'!C26</f>
        <v>126.04</v>
      </c>
      <c r="E21" s="35">
        <f>'Data Sheet'!D26</f>
        <v>116.04</v>
      </c>
      <c r="F21" s="35">
        <f>'Data Sheet'!E26</f>
        <v>122.57</v>
      </c>
      <c r="G21" s="35">
        <f>'Data Sheet'!F26</f>
        <v>241.71</v>
      </c>
      <c r="H21" s="35">
        <f>'Data Sheet'!G26</f>
        <v>254.74</v>
      </c>
      <c r="I21" s="35">
        <f>'Data Sheet'!H26</f>
        <v>278.01</v>
      </c>
      <c r="J21" s="35">
        <f>'Data Sheet'!I26</f>
        <v>304.08</v>
      </c>
      <c r="K21" s="35">
        <f>'Data Sheet'!J26</f>
        <v>377.15</v>
      </c>
      <c r="L21" s="35">
        <f>'Data Sheet'!K26</f>
        <v>600.74</v>
      </c>
    </row>
    <row r="22" spans="2:14" x14ac:dyDescent="0.3">
      <c r="B22" s="17" t="s">
        <v>70</v>
      </c>
      <c r="C22" s="18">
        <f>C21/C6</f>
        <v>1.7598025477131157E-2</v>
      </c>
      <c r="D22" s="18">
        <f t="shared" ref="D22:L22" si="7">D21/D6</f>
        <v>1.8591204430972556E-2</v>
      </c>
      <c r="E22" s="18">
        <f t="shared" si="7"/>
        <v>1.7026271578128784E-2</v>
      </c>
      <c r="F22" s="18">
        <f t="shared" si="7"/>
        <v>1.6902709784182582E-2</v>
      </c>
      <c r="G22" s="18">
        <f t="shared" si="7"/>
        <v>2.5080363831813911E-2</v>
      </c>
      <c r="H22" s="18">
        <f t="shared" si="7"/>
        <v>2.1956502439659267E-2</v>
      </c>
      <c r="I22" s="18">
        <f t="shared" si="7"/>
        <v>2.237438402236714E-2</v>
      </c>
      <c r="J22" s="18">
        <f t="shared" si="7"/>
        <v>2.2061704282617337E-2</v>
      </c>
      <c r="K22" s="18">
        <f t="shared" si="7"/>
        <v>2.4802954126208004E-2</v>
      </c>
      <c r="L22" s="18">
        <f t="shared" si="7"/>
        <v>3.4097500893956856E-2</v>
      </c>
    </row>
    <row r="24" spans="2:14" x14ac:dyDescent="0.3">
      <c r="B24" s="16" t="s">
        <v>71</v>
      </c>
      <c r="C24" s="36">
        <f>C18-C21</f>
        <v>898.63000000000022</v>
      </c>
      <c r="D24" s="36">
        <f t="shared" ref="D24:L24" si="8">D18-D21</f>
        <v>1045.8799999999992</v>
      </c>
      <c r="E24" s="36">
        <f t="shared" si="8"/>
        <v>1039.23</v>
      </c>
      <c r="F24" s="36">
        <f t="shared" si="8"/>
        <v>1047.8899999999996</v>
      </c>
      <c r="G24" s="36">
        <f t="shared" si="8"/>
        <v>1479.76</v>
      </c>
      <c r="H24" s="36">
        <f t="shared" si="8"/>
        <v>1698.2400000000023</v>
      </c>
      <c r="I24" s="36">
        <f t="shared" si="8"/>
        <v>1860.6000000000024</v>
      </c>
      <c r="J24" s="36">
        <f t="shared" si="8"/>
        <v>2012.6499999999978</v>
      </c>
      <c r="K24" s="36">
        <f t="shared" si="8"/>
        <v>2547.3200000000006</v>
      </c>
      <c r="L24" s="36">
        <f t="shared" si="8"/>
        <v>2671.4399999999996</v>
      </c>
    </row>
    <row r="25" spans="2:14" x14ac:dyDescent="0.3">
      <c r="B25" s="17" t="s">
        <v>72</v>
      </c>
      <c r="C25" s="18">
        <f>C24/C6</f>
        <v>0.13540640152850736</v>
      </c>
      <c r="D25" s="18">
        <f t="shared" ref="D25:L25" si="9">D24/D6</f>
        <v>0.15426982616840337</v>
      </c>
      <c r="E25" s="18">
        <f t="shared" si="9"/>
        <v>0.15248373157651476</v>
      </c>
      <c r="F25" s="18">
        <f t="shared" si="9"/>
        <v>0.14450665379576635</v>
      </c>
      <c r="G25" s="18">
        <f t="shared" si="9"/>
        <v>0.15354316819231703</v>
      </c>
      <c r="H25" s="18">
        <f t="shared" si="9"/>
        <v>0.14637438448271572</v>
      </c>
      <c r="I25" s="18">
        <f t="shared" si="9"/>
        <v>0.14974201975474391</v>
      </c>
      <c r="J25" s="18">
        <f t="shared" si="9"/>
        <v>0.14602239254278393</v>
      </c>
      <c r="K25" s="18">
        <f t="shared" si="9"/>
        <v>0.16752236803598619</v>
      </c>
      <c r="L25" s="18">
        <f t="shared" si="9"/>
        <v>0.15162870424501795</v>
      </c>
      <c r="M25" s="41"/>
    </row>
    <row r="27" spans="2:14" x14ac:dyDescent="0.3">
      <c r="B27" t="s">
        <v>6</v>
      </c>
      <c r="C27" s="35">
        <f>'Data Sheet'!B27</f>
        <v>116.9</v>
      </c>
      <c r="D27" s="35">
        <f>'Data Sheet'!C27</f>
        <v>91.53</v>
      </c>
      <c r="E27" s="35">
        <f>'Data Sheet'!D27</f>
        <v>42.76</v>
      </c>
      <c r="F27" s="35">
        <f>'Data Sheet'!E27</f>
        <v>52.47</v>
      </c>
      <c r="G27" s="35">
        <f>'Data Sheet'!F27</f>
        <v>77.86</v>
      </c>
      <c r="H27" s="35">
        <f>'Data Sheet'!G27</f>
        <v>68.69</v>
      </c>
      <c r="I27" s="35">
        <f>'Data Sheet'!H27</f>
        <v>72.78</v>
      </c>
      <c r="J27" s="35">
        <f>'Data Sheet'!I27</f>
        <v>87.16</v>
      </c>
      <c r="K27" s="35">
        <f>'Data Sheet'!J27</f>
        <v>129.81</v>
      </c>
      <c r="L27" s="35">
        <f>'Data Sheet'!K27</f>
        <v>290.2</v>
      </c>
    </row>
    <row r="28" spans="2:14" x14ac:dyDescent="0.3">
      <c r="B28" s="17" t="s">
        <v>69</v>
      </c>
      <c r="C28" s="18">
        <f t="shared" ref="C28:L28" si="10">C27/C6</f>
        <v>1.7614600379113214E-2</v>
      </c>
      <c r="D28" s="18">
        <f t="shared" si="10"/>
        <v>1.3500896077173264E-2</v>
      </c>
      <c r="E28" s="18">
        <f t="shared" si="10"/>
        <v>6.274072498110881E-3</v>
      </c>
      <c r="F28" s="18">
        <f t="shared" si="10"/>
        <v>7.235744328759567E-3</v>
      </c>
      <c r="G28" s="18">
        <f t="shared" si="10"/>
        <v>8.0789256875802851E-3</v>
      </c>
      <c r="H28" s="18">
        <f t="shared" si="10"/>
        <v>5.9205156339019981E-3</v>
      </c>
      <c r="I28" s="18">
        <f t="shared" si="10"/>
        <v>5.8573708469043572E-3</v>
      </c>
      <c r="J28" s="18">
        <f t="shared" si="10"/>
        <v>6.3236587255752668E-3</v>
      </c>
      <c r="K28" s="18">
        <f t="shared" si="10"/>
        <v>8.536846016500229E-3</v>
      </c>
      <c r="L28" s="18">
        <f t="shared" si="10"/>
        <v>1.6471509737034786E-2</v>
      </c>
    </row>
    <row r="30" spans="2:14" x14ac:dyDescent="0.3">
      <c r="B30" s="16" t="s">
        <v>73</v>
      </c>
      <c r="C30" s="36">
        <f>C24-C27</f>
        <v>781.73000000000025</v>
      </c>
      <c r="D30" s="36">
        <f t="shared" ref="D30:L30" si="11">D24-D27</f>
        <v>954.34999999999923</v>
      </c>
      <c r="E30" s="36">
        <f t="shared" si="11"/>
        <v>996.47</v>
      </c>
      <c r="F30" s="36">
        <f t="shared" si="11"/>
        <v>995.41999999999962</v>
      </c>
      <c r="G30" s="36">
        <f t="shared" si="11"/>
        <v>1401.9</v>
      </c>
      <c r="H30" s="36">
        <f t="shared" si="11"/>
        <v>1629.5500000000022</v>
      </c>
      <c r="I30" s="36">
        <f t="shared" si="11"/>
        <v>1787.8200000000024</v>
      </c>
      <c r="J30" s="36">
        <f t="shared" si="11"/>
        <v>1925.4899999999977</v>
      </c>
      <c r="K30" s="36">
        <f t="shared" si="11"/>
        <v>2417.5100000000007</v>
      </c>
      <c r="L30" s="36">
        <f t="shared" si="11"/>
        <v>2381.2399999999998</v>
      </c>
      <c r="N30" s="12"/>
    </row>
    <row r="31" spans="2:14" x14ac:dyDescent="0.3">
      <c r="B31" s="17" t="s">
        <v>74</v>
      </c>
      <c r="C31" s="18">
        <f>C30/C6</f>
        <v>0.11779180114939415</v>
      </c>
      <c r="D31" s="18">
        <f t="shared" ref="D31:L31" si="12">D30/D6</f>
        <v>0.14076893009123012</v>
      </c>
      <c r="E31" s="18">
        <f t="shared" si="12"/>
        <v>0.14620965907840389</v>
      </c>
      <c r="F31" s="18">
        <f t="shared" si="12"/>
        <v>0.13727090946700676</v>
      </c>
      <c r="G31" s="18">
        <f t="shared" si="12"/>
        <v>0.14546424250473675</v>
      </c>
      <c r="H31" s="18">
        <f t="shared" si="12"/>
        <v>0.14045386884881372</v>
      </c>
      <c r="I31" s="18">
        <f t="shared" si="12"/>
        <v>0.14388464890783956</v>
      </c>
      <c r="J31" s="18">
        <f t="shared" si="12"/>
        <v>0.13969873381720865</v>
      </c>
      <c r="K31" s="18">
        <f t="shared" si="12"/>
        <v>0.15898552201948596</v>
      </c>
      <c r="L31" s="18">
        <f t="shared" si="12"/>
        <v>0.13515719450798316</v>
      </c>
    </row>
    <row r="32" spans="2:14" x14ac:dyDescent="0.3">
      <c r="N32" s="12"/>
    </row>
    <row r="33" spans="2:20" x14ac:dyDescent="0.3">
      <c r="B33" t="s">
        <v>8</v>
      </c>
      <c r="C33" s="35">
        <f>'Data Sheet'!B29</f>
        <v>200.01</v>
      </c>
      <c r="D33" s="35">
        <f>'Data Sheet'!C29</f>
        <v>198.31</v>
      </c>
      <c r="E33" s="35">
        <f>'Data Sheet'!D29</f>
        <v>185.87</v>
      </c>
      <c r="F33" s="35">
        <f>'Data Sheet'!E29</f>
        <v>260.88</v>
      </c>
      <c r="G33" s="35">
        <f>'Data Sheet'!F29</f>
        <v>274.19</v>
      </c>
      <c r="H33" s="35">
        <f>'Data Sheet'!G29</f>
        <v>317.27</v>
      </c>
      <c r="I33" s="35">
        <f>'Data Sheet'!H29</f>
        <v>377.04</v>
      </c>
      <c r="J33" s="35">
        <f>'Data Sheet'!I29</f>
        <v>447.04</v>
      </c>
      <c r="K33" s="35">
        <f>'Data Sheet'!J29</f>
        <v>394.73</v>
      </c>
      <c r="L33" s="35">
        <f>'Data Sheet'!K29</f>
        <v>396.24</v>
      </c>
    </row>
    <row r="34" spans="2:20" x14ac:dyDescent="0.3">
      <c r="B34" s="17" t="s">
        <v>79</v>
      </c>
      <c r="C34" s="18">
        <f>C33/C30</f>
        <v>0.25585560231793575</v>
      </c>
      <c r="D34" s="18">
        <f t="shared" ref="D34:L34" si="13">D33/D30</f>
        <v>0.20779588201393637</v>
      </c>
      <c r="E34" s="18">
        <f t="shared" si="13"/>
        <v>0.18652844541230543</v>
      </c>
      <c r="F34" s="18">
        <f t="shared" si="13"/>
        <v>0.26208032790179031</v>
      </c>
      <c r="G34" s="18">
        <f t="shared" si="13"/>
        <v>0.19558456380626291</v>
      </c>
      <c r="H34" s="18">
        <f t="shared" si="13"/>
        <v>0.19469792273940631</v>
      </c>
      <c r="I34" s="18">
        <f t="shared" si="13"/>
        <v>0.21089371413229493</v>
      </c>
      <c r="J34" s="18">
        <f t="shared" si="13"/>
        <v>0.23216947374434588</v>
      </c>
      <c r="K34" s="18">
        <f t="shared" si="13"/>
        <v>0.16327957278356653</v>
      </c>
      <c r="L34" s="18">
        <f t="shared" si="13"/>
        <v>0.1664006987955855</v>
      </c>
    </row>
    <row r="36" spans="2:20" x14ac:dyDescent="0.3">
      <c r="B36" s="16" t="s">
        <v>75</v>
      </c>
      <c r="C36" s="36">
        <f>C30-C33</f>
        <v>581.72000000000025</v>
      </c>
      <c r="D36" s="36">
        <f t="shared" ref="D36:L36" si="14">D30-D33</f>
        <v>756.03999999999928</v>
      </c>
      <c r="E36" s="36">
        <f t="shared" si="14"/>
        <v>810.6</v>
      </c>
      <c r="F36" s="36">
        <f t="shared" si="14"/>
        <v>734.53999999999962</v>
      </c>
      <c r="G36" s="36">
        <f t="shared" si="14"/>
        <v>1127.71</v>
      </c>
      <c r="H36" s="36">
        <f t="shared" si="14"/>
        <v>1312.2800000000022</v>
      </c>
      <c r="I36" s="36">
        <f t="shared" si="14"/>
        <v>1410.7800000000025</v>
      </c>
      <c r="J36" s="36">
        <f t="shared" si="14"/>
        <v>1478.4499999999978</v>
      </c>
      <c r="K36" s="36">
        <f t="shared" si="14"/>
        <v>2022.7800000000007</v>
      </c>
      <c r="L36" s="36">
        <f t="shared" si="14"/>
        <v>1984.9999999999998</v>
      </c>
    </row>
    <row r="37" spans="2:20" x14ac:dyDescent="0.3">
      <c r="B37" s="17" t="s">
        <v>76</v>
      </c>
      <c r="C37" s="18">
        <f>C36/C6</f>
        <v>8.7654108918201384E-2</v>
      </c>
      <c r="D37" s="18">
        <f t="shared" ref="D37:L37" si="15">D36/D6</f>
        <v>0.11151772610276482</v>
      </c>
      <c r="E37" s="18">
        <f t="shared" si="15"/>
        <v>0.11893739866624604</v>
      </c>
      <c r="F37" s="18">
        <f t="shared" si="15"/>
        <v>0.10129490450251667</v>
      </c>
      <c r="G37" s="18">
        <f t="shared" si="15"/>
        <v>0.11701368208503936</v>
      </c>
      <c r="H37" s="18">
        <f t="shared" si="15"/>
        <v>0.11310779234323667</v>
      </c>
      <c r="I37" s="18">
        <f t="shared" si="15"/>
        <v>0.11354028089304402</v>
      </c>
      <c r="J37" s="18">
        <f t="shared" si="15"/>
        <v>0.10726495230411588</v>
      </c>
      <c r="K37" s="18">
        <f t="shared" si="15"/>
        <v>0.133026433905372</v>
      </c>
      <c r="L37" s="18">
        <f t="shared" si="15"/>
        <v>0.1126669428946039</v>
      </c>
      <c r="N37" s="184"/>
      <c r="O37" s="184"/>
      <c r="P37" s="184"/>
      <c r="Q37" s="184"/>
      <c r="R37" s="184"/>
      <c r="S37" s="184"/>
      <c r="T37" s="184"/>
    </row>
    <row r="39" spans="2:20" x14ac:dyDescent="0.3">
      <c r="B39" t="s">
        <v>42</v>
      </c>
      <c r="C39">
        <f>'Data Sheet'!B93</f>
        <v>65.540000000000006</v>
      </c>
      <c r="D39">
        <f>'Data Sheet'!C93</f>
        <v>65.540000000000006</v>
      </c>
      <c r="E39">
        <f>'Data Sheet'!D93</f>
        <v>65.540000000000006</v>
      </c>
      <c r="F39">
        <f>'Data Sheet'!E93</f>
        <v>65.540000000000006</v>
      </c>
      <c r="G39">
        <f>'Data Sheet'!F93</f>
        <v>95.7</v>
      </c>
      <c r="H39">
        <f>'Data Sheet'!G93</f>
        <v>95.7</v>
      </c>
      <c r="I39">
        <f>'Data Sheet'!H93</f>
        <v>95.7</v>
      </c>
      <c r="J39">
        <f>'Data Sheet'!I93</f>
        <v>96.47</v>
      </c>
      <c r="K39">
        <f>'Data Sheet'!J93</f>
        <v>98.95</v>
      </c>
      <c r="L39">
        <f>'Data Sheet'!K93</f>
        <v>98.95</v>
      </c>
    </row>
    <row r="41" spans="2:20" x14ac:dyDescent="0.3">
      <c r="B41" t="s">
        <v>33</v>
      </c>
      <c r="C41" s="35">
        <f>C36/C39</f>
        <v>8.8758010375343339</v>
      </c>
      <c r="D41" s="35">
        <f t="shared" ref="D41:L41" si="16">D36/D39</f>
        <v>11.535550808666452</v>
      </c>
      <c r="E41" s="35">
        <f t="shared" si="16"/>
        <v>12.368019530057978</v>
      </c>
      <c r="F41" s="35">
        <f t="shared" si="16"/>
        <v>11.207506866036002</v>
      </c>
      <c r="G41" s="35">
        <f t="shared" si="16"/>
        <v>11.78380355276907</v>
      </c>
      <c r="H41" s="35">
        <f t="shared" si="16"/>
        <v>13.712434691745059</v>
      </c>
      <c r="I41" s="35">
        <f t="shared" si="16"/>
        <v>14.741692789968678</v>
      </c>
      <c r="J41" s="35">
        <f t="shared" si="16"/>
        <v>15.325489789571865</v>
      </c>
      <c r="K41" s="35">
        <f t="shared" si="16"/>
        <v>20.442445679636187</v>
      </c>
      <c r="L41" s="35">
        <f t="shared" si="16"/>
        <v>20.060636685194538</v>
      </c>
    </row>
    <row r="42" spans="2:20" x14ac:dyDescent="0.3">
      <c r="B42" s="17" t="s">
        <v>77</v>
      </c>
      <c r="C42" s="17"/>
      <c r="D42" s="18">
        <f>D41/C41-1</f>
        <v>0.29966306814274724</v>
      </c>
      <c r="E42" s="18">
        <f t="shared" ref="E42:L42" si="17">E41/D41-1</f>
        <v>7.2165493889213117E-2</v>
      </c>
      <c r="F42" s="18">
        <f t="shared" si="17"/>
        <v>-9.3831729583025325E-2</v>
      </c>
      <c r="G42" s="18">
        <f t="shared" si="17"/>
        <v>5.1420596357564241E-2</v>
      </c>
      <c r="H42" s="18">
        <f t="shared" si="17"/>
        <v>0.16366796428159902</v>
      </c>
      <c r="I42" s="18">
        <f t="shared" si="17"/>
        <v>7.5060200566952284E-2</v>
      </c>
      <c r="J42" s="18">
        <f t="shared" si="17"/>
        <v>3.9601761339135066E-2</v>
      </c>
      <c r="K42" s="18">
        <f t="shared" si="17"/>
        <v>0.33388530874531153</v>
      </c>
      <c r="L42" s="18">
        <f t="shared" si="17"/>
        <v>-1.867726594093333E-2</v>
      </c>
    </row>
    <row r="44" spans="2:20" x14ac:dyDescent="0.3">
      <c r="B44" t="s">
        <v>78</v>
      </c>
      <c r="C44" s="35">
        <f>'Data Sheet'!B31/Historical_FS!C39</f>
        <v>2.1666158071406771</v>
      </c>
      <c r="D44" s="35">
        <f>'Data Sheet'!C31/Historical_FS!D39</f>
        <v>2.2628928898382665</v>
      </c>
      <c r="E44" s="35">
        <f>'Data Sheet'!D31/Historical_FS!E39</f>
        <v>2.2628928898382665</v>
      </c>
      <c r="F44" s="35">
        <f>'Data Sheet'!E31/Historical_FS!F39</f>
        <v>2.4073848031736342</v>
      </c>
      <c r="G44" s="35">
        <f>'Data Sheet'!F31/Historical_FS!G39</f>
        <v>2.6001044932079416</v>
      </c>
      <c r="H44" s="35">
        <f>'Data Sheet'!G31/Historical_FS!H39</f>
        <v>3.9002089864158829</v>
      </c>
      <c r="I44" s="35">
        <f>'Data Sheet'!H31/Historical_FS!I39</f>
        <v>5.8262277951933124</v>
      </c>
      <c r="J44" s="35">
        <f>'Data Sheet'!I31/Historical_FS!J39</f>
        <v>8.1372447392971914</v>
      </c>
      <c r="K44" s="35">
        <f>'Data Sheet'!J31/Historical_FS!K39</f>
        <v>7.4625568468923689</v>
      </c>
      <c r="L44" s="35">
        <f>'Data Sheet'!K31/Historical_FS!L39</f>
        <v>8.2500252652854975</v>
      </c>
    </row>
    <row r="45" spans="2:20" x14ac:dyDescent="0.3">
      <c r="B45" s="17" t="s">
        <v>80</v>
      </c>
      <c r="C45" s="18">
        <f>C44/C41</f>
        <v>0.24410369249810893</v>
      </c>
      <c r="D45" s="18">
        <f t="shared" ref="D45:L45" si="18">D44/D41</f>
        <v>0.19616686947780559</v>
      </c>
      <c r="E45" s="18">
        <f t="shared" si="18"/>
        <v>0.18296323710831483</v>
      </c>
      <c r="F45" s="18">
        <f t="shared" si="18"/>
        <v>0.21480110000816849</v>
      </c>
      <c r="G45" s="18">
        <f t="shared" si="18"/>
        <v>0.22065069920458275</v>
      </c>
      <c r="H45" s="18">
        <f t="shared" si="18"/>
        <v>0.28442862803669899</v>
      </c>
      <c r="I45" s="18">
        <f t="shared" si="18"/>
        <v>0.39522108337231815</v>
      </c>
      <c r="J45" s="18">
        <f t="shared" si="18"/>
        <v>0.53096147992830411</v>
      </c>
      <c r="K45" s="18">
        <f t="shared" si="18"/>
        <v>0.36505205706997285</v>
      </c>
      <c r="L45" s="18">
        <f t="shared" si="18"/>
        <v>0.41125440806045349</v>
      </c>
    </row>
    <row r="47" spans="2:20" x14ac:dyDescent="0.3">
      <c r="B47" t="s">
        <v>81</v>
      </c>
      <c r="C47" s="13">
        <f>IF(C41&gt;C44,1-C45,0)</f>
        <v>0.75589630750189107</v>
      </c>
      <c r="D47" s="13">
        <f t="shared" ref="D47:L47" si="19">IF(D41&gt;D44,1-D45,0)</f>
        <v>0.80383313052219441</v>
      </c>
      <c r="E47" s="13">
        <f t="shared" si="19"/>
        <v>0.81703676289168514</v>
      </c>
      <c r="F47" s="13">
        <f t="shared" si="19"/>
        <v>0.78519889999183157</v>
      </c>
      <c r="G47" s="13">
        <f t="shared" si="19"/>
        <v>0.77934930079541731</v>
      </c>
      <c r="H47" s="13">
        <f t="shared" si="19"/>
        <v>0.71557137196330101</v>
      </c>
      <c r="I47" s="13">
        <f t="shared" si="19"/>
        <v>0.6047789166276818</v>
      </c>
      <c r="J47" s="13">
        <f t="shared" si="19"/>
        <v>0.46903852007169589</v>
      </c>
      <c r="K47" s="13">
        <f t="shared" si="19"/>
        <v>0.6349479429300271</v>
      </c>
      <c r="L47" s="13">
        <f t="shared" si="19"/>
        <v>0.58874559193954656</v>
      </c>
    </row>
    <row r="49" spans="1:16" x14ac:dyDescent="0.3">
      <c r="A49" t="s">
        <v>59</v>
      </c>
      <c r="B49" s="14" t="s">
        <v>82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1:16" x14ac:dyDescent="0.3">
      <c r="B50" s="20" t="str">
        <f>'Data Sheet'!A57</f>
        <v>Equity Share Capital</v>
      </c>
      <c r="C50" s="35">
        <f>'Data Sheet'!B57</f>
        <v>63.11</v>
      </c>
      <c r="D50" s="35">
        <f>'Data Sheet'!C57</f>
        <v>63.11</v>
      </c>
      <c r="E50" s="35">
        <f>'Data Sheet'!D57</f>
        <v>63.11</v>
      </c>
      <c r="F50" s="35">
        <f>'Data Sheet'!E57</f>
        <v>63.11</v>
      </c>
      <c r="G50" s="35">
        <f>'Data Sheet'!F57</f>
        <v>92.16</v>
      </c>
      <c r="H50" s="35">
        <f>'Data Sheet'!G57</f>
        <v>92.16</v>
      </c>
      <c r="I50" s="35">
        <f>'Data Sheet'!H57</f>
        <v>92.16</v>
      </c>
      <c r="J50" s="35">
        <f>'Data Sheet'!I57</f>
        <v>92.9</v>
      </c>
      <c r="K50" s="35">
        <f>'Data Sheet'!J57</f>
        <v>95.28</v>
      </c>
      <c r="L50" s="35">
        <f>'Data Sheet'!K57</f>
        <v>98.95</v>
      </c>
    </row>
    <row r="51" spans="1:16" x14ac:dyDescent="0.3">
      <c r="B51" s="20" t="str">
        <f>'Data Sheet'!A58</f>
        <v>Reserves</v>
      </c>
      <c r="C51" s="35">
        <f>'Data Sheet'!B58</f>
        <v>6184.06</v>
      </c>
      <c r="D51" s="35">
        <f>'Data Sheet'!C58</f>
        <v>6202.39</v>
      </c>
      <c r="E51" s="35">
        <f>'Data Sheet'!D58</f>
        <v>6968.49</v>
      </c>
      <c r="F51" s="35">
        <f>'Data Sheet'!E58</f>
        <v>7268.58</v>
      </c>
      <c r="G51" s="35">
        <f>'Data Sheet'!F58</f>
        <v>13722.7</v>
      </c>
      <c r="H51" s="35">
        <f>'Data Sheet'!G58</f>
        <v>14442.35</v>
      </c>
      <c r="I51" s="35">
        <f>'Data Sheet'!H58</f>
        <v>15049.78</v>
      </c>
      <c r="J51" s="35">
        <f>'Data Sheet'!I58</f>
        <v>16183.81</v>
      </c>
      <c r="K51" s="35">
        <f>'Data Sheet'!J58</f>
        <v>15961.51</v>
      </c>
      <c r="L51" s="35">
        <f>'Data Sheet'!K58</f>
        <v>19902.13</v>
      </c>
    </row>
    <row r="52" spans="1:16" x14ac:dyDescent="0.3">
      <c r="B52" s="20" t="str">
        <f>'Data Sheet'!A59</f>
        <v>Borrowings</v>
      </c>
      <c r="C52" s="35">
        <f>'Data Sheet'!B59</f>
        <v>1354.05</v>
      </c>
      <c r="D52" s="35">
        <f>'Data Sheet'!C59</f>
        <v>786.56</v>
      </c>
      <c r="E52" s="35">
        <f>'Data Sheet'!D59</f>
        <v>1067.58</v>
      </c>
      <c r="F52" s="35">
        <f>'Data Sheet'!E59</f>
        <v>1141.0999999999999</v>
      </c>
      <c r="G52" s="35">
        <f>'Data Sheet'!F59</f>
        <v>1586.32</v>
      </c>
      <c r="H52" s="35">
        <f>'Data Sheet'!G59</f>
        <v>1633.55</v>
      </c>
      <c r="I52" s="35">
        <f>'Data Sheet'!H59</f>
        <v>1412.01</v>
      </c>
      <c r="J52" s="35">
        <f>'Data Sheet'!I59</f>
        <v>1600.04</v>
      </c>
      <c r="K52" s="35">
        <f>'Data Sheet'!J59</f>
        <v>3477.22</v>
      </c>
      <c r="L52" s="35">
        <f>'Data Sheet'!K59</f>
        <v>2392.6799999999998</v>
      </c>
    </row>
    <row r="53" spans="1:16" x14ac:dyDescent="0.3">
      <c r="B53" s="20" t="str">
        <f>'Data Sheet'!A60</f>
        <v>Other Liabilities</v>
      </c>
      <c r="C53" s="35">
        <f>'Data Sheet'!B60</f>
        <v>2293.54</v>
      </c>
      <c r="D53" s="35">
        <f>'Data Sheet'!C60</f>
        <v>2499.35</v>
      </c>
      <c r="E53" s="35">
        <f>'Data Sheet'!D60</f>
        <v>2361.58</v>
      </c>
      <c r="F53" s="35">
        <f>'Data Sheet'!E60</f>
        <v>2407.89</v>
      </c>
      <c r="G53" s="35">
        <f>'Data Sheet'!F60</f>
        <v>3071.86</v>
      </c>
      <c r="H53" s="35">
        <f>'Data Sheet'!G60</f>
        <v>4049.76</v>
      </c>
      <c r="I53" s="35">
        <f>'Data Sheet'!H60</f>
        <v>4520.92</v>
      </c>
      <c r="J53" s="35">
        <f>'Data Sheet'!I60</f>
        <v>4885.74</v>
      </c>
      <c r="K53" s="35">
        <f>'Data Sheet'!J60</f>
        <v>8344.7800000000007</v>
      </c>
      <c r="L53" s="35">
        <f>'Data Sheet'!K60</f>
        <v>9436.86</v>
      </c>
    </row>
    <row r="54" spans="1:16" x14ac:dyDescent="0.3">
      <c r="B54" s="16" t="s">
        <v>83</v>
      </c>
      <c r="C54" s="36">
        <f>SUM(C50:C53)</f>
        <v>9894.76</v>
      </c>
      <c r="D54" s="36">
        <f t="shared" ref="D54:L54" si="20">SUM(D50:D53)</f>
        <v>9551.41</v>
      </c>
      <c r="E54" s="36">
        <f t="shared" si="20"/>
        <v>10460.759999999998</v>
      </c>
      <c r="F54" s="36">
        <f t="shared" si="20"/>
        <v>10880.679999999998</v>
      </c>
      <c r="G54" s="36">
        <f t="shared" si="20"/>
        <v>18473.04</v>
      </c>
      <c r="H54" s="36">
        <f t="shared" si="20"/>
        <v>20217.82</v>
      </c>
      <c r="I54" s="36">
        <f t="shared" si="20"/>
        <v>21074.870000000003</v>
      </c>
      <c r="J54" s="36">
        <f t="shared" si="20"/>
        <v>22762.489999999998</v>
      </c>
      <c r="K54" s="36">
        <f t="shared" si="20"/>
        <v>27878.79</v>
      </c>
      <c r="L54" s="36">
        <f t="shared" si="20"/>
        <v>31830.620000000003</v>
      </c>
      <c r="P54" s="1"/>
    </row>
    <row r="55" spans="1:16" x14ac:dyDescent="0.3">
      <c r="C55" s="19"/>
      <c r="D55" s="19"/>
      <c r="E55" s="19"/>
      <c r="F55" s="19"/>
      <c r="G55" s="19"/>
      <c r="H55" s="19"/>
      <c r="I55" s="19"/>
      <c r="J55" s="19"/>
      <c r="K55" s="19"/>
      <c r="L55" s="19"/>
      <c r="P55" s="4"/>
    </row>
    <row r="56" spans="1:16" x14ac:dyDescent="0.3">
      <c r="B56" s="20" t="s">
        <v>84</v>
      </c>
      <c r="C56" s="35">
        <f>'Data Sheet'!B62</f>
        <v>4661.8</v>
      </c>
      <c r="D56" s="35">
        <f>'Data Sheet'!C62</f>
        <v>4572.59</v>
      </c>
      <c r="E56" s="35">
        <f>'Data Sheet'!D62</f>
        <v>4798.18</v>
      </c>
      <c r="F56" s="35">
        <f>'Data Sheet'!E62</f>
        <v>4913.3100000000004</v>
      </c>
      <c r="G56" s="35">
        <f>'Data Sheet'!F62</f>
        <v>11656.04</v>
      </c>
      <c r="H56" s="35">
        <f>'Data Sheet'!G62</f>
        <v>12023.13</v>
      </c>
      <c r="I56" s="35">
        <f>'Data Sheet'!H62</f>
        <v>12599.35</v>
      </c>
      <c r="J56" s="35">
        <f>'Data Sheet'!I62</f>
        <v>13070.04</v>
      </c>
      <c r="K56" s="35">
        <f>'Data Sheet'!J62</f>
        <v>19357.900000000001</v>
      </c>
      <c r="L56" s="35">
        <f>'Data Sheet'!K62</f>
        <v>21476.84</v>
      </c>
      <c r="P56" s="4"/>
    </row>
    <row r="57" spans="1:16" x14ac:dyDescent="0.3">
      <c r="B57" s="20" t="str">
        <f>'Data Sheet'!A63</f>
        <v>Capital Work in Progress</v>
      </c>
      <c r="C57" s="35">
        <f>'Data Sheet'!B63</f>
        <v>39.42</v>
      </c>
      <c r="D57" s="35">
        <f>'Data Sheet'!C63</f>
        <v>63.19</v>
      </c>
      <c r="E57" s="35">
        <f>'Data Sheet'!D63</f>
        <v>135.16</v>
      </c>
      <c r="F57" s="35">
        <f>'Data Sheet'!E63</f>
        <v>424.41</v>
      </c>
      <c r="G57" s="35">
        <f>'Data Sheet'!F63</f>
        <v>95.35</v>
      </c>
      <c r="H57" s="35">
        <f>'Data Sheet'!G63</f>
        <v>112.85</v>
      </c>
      <c r="I57" s="35">
        <f>'Data Sheet'!H63</f>
        <v>246.97</v>
      </c>
      <c r="J57" s="35">
        <f>'Data Sheet'!I63</f>
        <v>294.89999999999998</v>
      </c>
      <c r="K57" s="35">
        <f>'Data Sheet'!J63</f>
        <v>189.6</v>
      </c>
      <c r="L57" s="35">
        <f>'Data Sheet'!K63</f>
        <v>218.1</v>
      </c>
      <c r="P57" s="4"/>
    </row>
    <row r="58" spans="1:16" x14ac:dyDescent="0.3">
      <c r="B58" s="20" t="str">
        <f>'Data Sheet'!A64</f>
        <v>Investments</v>
      </c>
      <c r="C58" s="35">
        <f>'Data Sheet'!B64</f>
        <v>1365.94</v>
      </c>
      <c r="D58" s="35">
        <f>'Data Sheet'!C64</f>
        <v>1451.04</v>
      </c>
      <c r="E58" s="35">
        <f>'Data Sheet'!D64</f>
        <v>1161.33</v>
      </c>
      <c r="F58" s="35">
        <f>'Data Sheet'!E64</f>
        <v>1187.6600000000001</v>
      </c>
      <c r="G58" s="35">
        <f>'Data Sheet'!F64</f>
        <v>1322.85</v>
      </c>
      <c r="H58" s="35">
        <f>'Data Sheet'!G64</f>
        <v>805.89</v>
      </c>
      <c r="I58" s="35">
        <f>'Data Sheet'!H64</f>
        <v>797.28</v>
      </c>
      <c r="J58" s="35">
        <f>'Data Sheet'!I64</f>
        <v>1432.97</v>
      </c>
      <c r="K58" s="35">
        <f>'Data Sheet'!J64</f>
        <v>870.55</v>
      </c>
      <c r="L58" s="35">
        <f>'Data Sheet'!K64</f>
        <v>968.67</v>
      </c>
      <c r="P58" s="4"/>
    </row>
    <row r="59" spans="1:16" x14ac:dyDescent="0.3">
      <c r="B59" s="20" t="str">
        <f>'Data Sheet'!A65</f>
        <v>Other Assets</v>
      </c>
      <c r="C59" s="35">
        <f>'Data Sheet'!B65-SUM('Data Sheet'!B67:B69)</f>
        <v>1105.1299999999997</v>
      </c>
      <c r="D59" s="35">
        <f>'Data Sheet'!C65-SUM('Data Sheet'!C67:C69)</f>
        <v>844.36000000000013</v>
      </c>
      <c r="E59" s="35">
        <f>'Data Sheet'!D65-SUM('Data Sheet'!D67:D69)</f>
        <v>1031.3599999999997</v>
      </c>
      <c r="F59" s="35">
        <f>'Data Sheet'!E65-SUM('Data Sheet'!E67:E69)</f>
        <v>1032.6000000000004</v>
      </c>
      <c r="G59" s="35">
        <f>'Data Sheet'!F65-SUM('Data Sheet'!F67:F69)</f>
        <v>1142.9000000000005</v>
      </c>
      <c r="H59" s="35">
        <f>'Data Sheet'!G65-SUM('Data Sheet'!G67:G69)</f>
        <v>1190.5899999999992</v>
      </c>
      <c r="I59" s="35">
        <f>'Data Sheet'!H65-SUM('Data Sheet'!H67:H69)</f>
        <v>1729.7200000000003</v>
      </c>
      <c r="J59" s="35">
        <f>'Data Sheet'!I65-SUM('Data Sheet'!I67:I69)</f>
        <v>1667.6399999999994</v>
      </c>
      <c r="K59" s="35">
        <f>'Data Sheet'!J65-SUM('Data Sheet'!J67:J69)</f>
        <v>1340.1499999999996</v>
      </c>
      <c r="L59" s="35">
        <f>'Data Sheet'!K65-SUM('Data Sheet'!K67:K69)</f>
        <v>1879.4500000000007</v>
      </c>
      <c r="P59" s="1"/>
    </row>
    <row r="60" spans="1:16" x14ac:dyDescent="0.3">
      <c r="B60" s="16" t="s">
        <v>85</v>
      </c>
      <c r="C60" s="36">
        <f>SUM(C56:C59)</f>
        <v>7172.2899999999991</v>
      </c>
      <c r="D60" s="36">
        <f t="shared" ref="D60:L60" si="21">SUM(D56:D59)</f>
        <v>6931.18</v>
      </c>
      <c r="E60" s="36">
        <f t="shared" si="21"/>
        <v>7126.03</v>
      </c>
      <c r="F60" s="36">
        <f t="shared" si="21"/>
        <v>7557.9800000000005</v>
      </c>
      <c r="G60" s="36">
        <f t="shared" si="21"/>
        <v>14217.140000000003</v>
      </c>
      <c r="H60" s="36">
        <f t="shared" si="21"/>
        <v>14132.46</v>
      </c>
      <c r="I60" s="36">
        <f t="shared" si="21"/>
        <v>15373.32</v>
      </c>
      <c r="J60" s="36">
        <f t="shared" si="21"/>
        <v>16465.55</v>
      </c>
      <c r="K60" s="36">
        <f t="shared" si="21"/>
        <v>21758.199999999997</v>
      </c>
      <c r="L60" s="36">
        <f t="shared" si="21"/>
        <v>24543.059999999998</v>
      </c>
      <c r="P60" s="4"/>
    </row>
    <row r="61" spans="1:16" x14ac:dyDescent="0.3">
      <c r="C61" s="19"/>
      <c r="D61" s="19"/>
      <c r="E61" s="19"/>
      <c r="F61" s="19"/>
      <c r="G61" s="19"/>
      <c r="H61" s="19"/>
      <c r="I61" s="19"/>
      <c r="J61" s="19"/>
      <c r="K61" s="19"/>
      <c r="L61" s="19"/>
      <c r="P61" s="4"/>
    </row>
    <row r="62" spans="1:16" x14ac:dyDescent="0.3">
      <c r="B62" s="20" t="str">
        <f>'Data Sheet'!A67</f>
        <v>Receivables</v>
      </c>
      <c r="C62" s="35">
        <f>'Data Sheet'!B67</f>
        <v>592.42999999999995</v>
      </c>
      <c r="D62" s="35">
        <f>'Data Sheet'!C67</f>
        <v>592.45000000000005</v>
      </c>
      <c r="E62" s="35">
        <f>'Data Sheet'!D67</f>
        <v>648.28</v>
      </c>
      <c r="F62" s="35">
        <f>'Data Sheet'!E67</f>
        <v>680.55</v>
      </c>
      <c r="G62" s="35">
        <f>'Data Sheet'!F67</f>
        <v>922.41</v>
      </c>
      <c r="H62" s="35">
        <f>'Data Sheet'!G67</f>
        <v>761.32</v>
      </c>
      <c r="I62" s="35">
        <f>'Data Sheet'!H67</f>
        <v>835.15</v>
      </c>
      <c r="J62" s="35">
        <f>'Data Sheet'!I67</f>
        <v>798.33</v>
      </c>
      <c r="K62" s="35">
        <f>'Data Sheet'!J67</f>
        <v>896.75</v>
      </c>
      <c r="L62" s="35">
        <f>'Data Sheet'!K67</f>
        <v>869.79</v>
      </c>
      <c r="P62" s="3"/>
    </row>
    <row r="63" spans="1:16" x14ac:dyDescent="0.3">
      <c r="B63" s="20" t="str">
        <f>'Data Sheet'!A68</f>
        <v>Inventory</v>
      </c>
      <c r="C63" s="35">
        <f>'Data Sheet'!B68</f>
        <v>1629.01</v>
      </c>
      <c r="D63" s="35">
        <f>'Data Sheet'!C68</f>
        <v>1452.96</v>
      </c>
      <c r="E63" s="35">
        <f>'Data Sheet'!D68</f>
        <v>1448.31</v>
      </c>
      <c r="F63" s="35">
        <f>'Data Sheet'!E68</f>
        <v>1608.54</v>
      </c>
      <c r="G63" s="35">
        <f>'Data Sheet'!F68</f>
        <v>1712.03</v>
      </c>
      <c r="H63" s="35">
        <f>'Data Sheet'!G68</f>
        <v>2249.16</v>
      </c>
      <c r="I63" s="35">
        <f>'Data Sheet'!H68</f>
        <v>2266.5100000000002</v>
      </c>
      <c r="J63" s="35">
        <f>'Data Sheet'!I68</f>
        <v>2701.67</v>
      </c>
      <c r="K63" s="35">
        <f>'Data Sheet'!J68</f>
        <v>2769.35</v>
      </c>
      <c r="L63" s="35">
        <f>'Data Sheet'!K68</f>
        <v>3599.91</v>
      </c>
    </row>
    <row r="64" spans="1:16" x14ac:dyDescent="0.3">
      <c r="B64" s="20" t="str">
        <f>'Data Sheet'!A69</f>
        <v>Cash &amp; Bank</v>
      </c>
      <c r="C64" s="35">
        <f>'Data Sheet'!B69</f>
        <v>501.03</v>
      </c>
      <c r="D64" s="35">
        <f>'Data Sheet'!C69</f>
        <v>574.82000000000005</v>
      </c>
      <c r="E64" s="35">
        <f>'Data Sheet'!D69</f>
        <v>1238.1400000000001</v>
      </c>
      <c r="F64" s="35">
        <f>'Data Sheet'!E69</f>
        <v>1033.6099999999999</v>
      </c>
      <c r="G64" s="35">
        <f>'Data Sheet'!F69</f>
        <v>1621.46</v>
      </c>
      <c r="H64" s="35">
        <f>'Data Sheet'!G69</f>
        <v>3074.88</v>
      </c>
      <c r="I64" s="35">
        <f>'Data Sheet'!H69</f>
        <v>2599.89</v>
      </c>
      <c r="J64" s="35">
        <f>'Data Sheet'!I69</f>
        <v>2796.94</v>
      </c>
      <c r="K64" s="35">
        <f>'Data Sheet'!J69</f>
        <v>2454.4899999999998</v>
      </c>
      <c r="L64" s="35">
        <f>'Data Sheet'!K69</f>
        <v>2817.86</v>
      </c>
    </row>
    <row r="65" spans="1:12" x14ac:dyDescent="0.3">
      <c r="B65" s="16" t="s">
        <v>86</v>
      </c>
      <c r="C65" s="36">
        <f>SUM(C62:C64)</f>
        <v>2722.4700000000003</v>
      </c>
      <c r="D65" s="36">
        <f t="shared" ref="D65:L65" si="22">SUM(D62:D64)</f>
        <v>2620.23</v>
      </c>
      <c r="E65" s="36">
        <f t="shared" si="22"/>
        <v>3334.7300000000005</v>
      </c>
      <c r="F65" s="36">
        <f t="shared" si="22"/>
        <v>3322.7</v>
      </c>
      <c r="G65" s="36">
        <f t="shared" si="22"/>
        <v>4255.8999999999996</v>
      </c>
      <c r="H65" s="36">
        <f t="shared" si="22"/>
        <v>6085.3600000000006</v>
      </c>
      <c r="I65" s="36">
        <f t="shared" si="22"/>
        <v>5701.55</v>
      </c>
      <c r="J65" s="36">
        <f t="shared" si="22"/>
        <v>6296.9400000000005</v>
      </c>
      <c r="K65" s="36">
        <f t="shared" si="22"/>
        <v>6120.59</v>
      </c>
      <c r="L65" s="36">
        <f t="shared" si="22"/>
        <v>7287.5599999999995</v>
      </c>
    </row>
    <row r="66" spans="1:12" x14ac:dyDescent="0.3"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7" spans="1:12" x14ac:dyDescent="0.3">
      <c r="B67" s="16" t="s">
        <v>87</v>
      </c>
      <c r="C67" s="36">
        <f>SUM(C60,C65)</f>
        <v>9894.7599999999984</v>
      </c>
      <c r="D67" s="36">
        <f t="shared" ref="D67:L67" si="23">SUM(D60,D65)</f>
        <v>9551.41</v>
      </c>
      <c r="E67" s="36">
        <f t="shared" si="23"/>
        <v>10460.76</v>
      </c>
      <c r="F67" s="36">
        <f t="shared" si="23"/>
        <v>10880.68</v>
      </c>
      <c r="G67" s="36">
        <f t="shared" si="23"/>
        <v>18473.04</v>
      </c>
      <c r="H67" s="36">
        <f t="shared" si="23"/>
        <v>20217.82</v>
      </c>
      <c r="I67" s="36">
        <f t="shared" si="23"/>
        <v>21074.87</v>
      </c>
      <c r="J67" s="36">
        <f t="shared" si="23"/>
        <v>22762.489999999998</v>
      </c>
      <c r="K67" s="36">
        <f t="shared" si="23"/>
        <v>27878.789999999997</v>
      </c>
      <c r="L67" s="36">
        <f t="shared" si="23"/>
        <v>31830.619999999995</v>
      </c>
    </row>
    <row r="69" spans="1:12" x14ac:dyDescent="0.3">
      <c r="B69" t="s">
        <v>88</v>
      </c>
      <c r="C69" t="b" cm="1">
        <f t="array" ref="C69">IF(C54=C67,TRUE,Error)</f>
        <v>1</v>
      </c>
      <c r="D69" t="b" cm="1">
        <f t="array" ref="D69">IF(D54=D67,TRUE,Error)</f>
        <v>1</v>
      </c>
      <c r="E69" t="b" cm="1">
        <f t="array" ref="E69">IF(E54=E67,TRUE,Error)</f>
        <v>1</v>
      </c>
      <c r="F69" t="b" cm="1">
        <f t="array" ref="F69">IF(F54=F67,TRUE,Error)</f>
        <v>1</v>
      </c>
      <c r="G69" t="b" cm="1">
        <f t="array" ref="G69">IF(G54=G67,TRUE,Error)</f>
        <v>1</v>
      </c>
      <c r="H69" t="b" cm="1">
        <f t="array" ref="H69">IF(H54=H67,TRUE,Error)</f>
        <v>1</v>
      </c>
      <c r="I69" t="b" cm="1">
        <f t="array" ref="I69">IF(I54=I67,TRUE,Error)</f>
        <v>1</v>
      </c>
      <c r="J69" t="b" cm="1">
        <f t="array" ref="J69">IF(J54=J67,TRUE,Error)</f>
        <v>1</v>
      </c>
      <c r="K69" t="b" cm="1">
        <f t="array" ref="K69">IF(K54=K67,TRUE,Error)</f>
        <v>1</v>
      </c>
      <c r="L69" t="b" cm="1">
        <f t="array" ref="L69">IF(L54=L67,TRUE,Error)</f>
        <v>1</v>
      </c>
    </row>
    <row r="71" spans="1:12" x14ac:dyDescent="0.3">
      <c r="A71" t="s">
        <v>59</v>
      </c>
      <c r="B71" s="14" t="s">
        <v>89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spans="1:12" x14ac:dyDescent="0.3">
      <c r="B72" s="20" t="str">
        <f>'Data Sheet'!A82</f>
        <v>Cash from Operating Activity</v>
      </c>
      <c r="C72" s="35">
        <f>'Data Sheet'!B82</f>
        <v>115.98</v>
      </c>
      <c r="D72" s="35">
        <f>'Data Sheet'!C82</f>
        <v>741.2</v>
      </c>
      <c r="E72" s="35">
        <f>'Data Sheet'!D82</f>
        <v>355.58</v>
      </c>
      <c r="F72" s="35">
        <f>'Data Sheet'!E82</f>
        <v>209.87</v>
      </c>
      <c r="G72" s="35">
        <f>'Data Sheet'!F82</f>
        <v>1082.23</v>
      </c>
      <c r="H72" s="35">
        <f>'Data Sheet'!G82</f>
        <v>1656.37</v>
      </c>
      <c r="I72" s="35">
        <f>'Data Sheet'!H82</f>
        <v>1515.81</v>
      </c>
      <c r="J72" s="35">
        <f>'Data Sheet'!I82</f>
        <v>1461.29</v>
      </c>
      <c r="K72" s="35">
        <f>'Data Sheet'!J82</f>
        <v>1936.68</v>
      </c>
      <c r="L72" s="35">
        <f>'Data Sheet'!K82</f>
        <v>2056.65</v>
      </c>
    </row>
    <row r="73" spans="1:12" x14ac:dyDescent="0.3">
      <c r="B73" s="20" t="str">
        <f>'Data Sheet'!A83</f>
        <v>Cash from Investing Activity</v>
      </c>
      <c r="C73" s="35">
        <f>'Data Sheet'!B83</f>
        <v>144.62</v>
      </c>
      <c r="D73" s="35">
        <f>'Data Sheet'!C83</f>
        <v>145.05000000000001</v>
      </c>
      <c r="E73" s="35">
        <f>'Data Sheet'!D83</f>
        <v>-31.1</v>
      </c>
      <c r="F73" s="35">
        <f>'Data Sheet'!E83</f>
        <v>53.17</v>
      </c>
      <c r="G73" s="35">
        <f>'Data Sheet'!F83</f>
        <v>-622.04</v>
      </c>
      <c r="H73" s="35">
        <f>'Data Sheet'!G83</f>
        <v>-346.5</v>
      </c>
      <c r="I73" s="35">
        <f>'Data Sheet'!H83</f>
        <v>-1317.11</v>
      </c>
      <c r="J73" s="35">
        <f>'Data Sheet'!I83</f>
        <v>-833.61</v>
      </c>
      <c r="K73" s="35">
        <f>'Data Sheet'!J83</f>
        <v>-1910.77</v>
      </c>
      <c r="L73" s="35">
        <f>'Data Sheet'!K83</f>
        <v>-2303.48</v>
      </c>
    </row>
    <row r="74" spans="1:12" x14ac:dyDescent="0.3">
      <c r="B74" s="20" t="str">
        <f>'Data Sheet'!A84</f>
        <v>Cash from Financing Activity</v>
      </c>
      <c r="C74" s="35">
        <f>'Data Sheet'!B84</f>
        <v>-281.8</v>
      </c>
      <c r="D74" s="35">
        <f>'Data Sheet'!C84</f>
        <v>-815.84</v>
      </c>
      <c r="E74" s="35">
        <f>'Data Sheet'!D84</f>
        <v>-30.39</v>
      </c>
      <c r="F74" s="35">
        <f>'Data Sheet'!E84</f>
        <v>-223.73</v>
      </c>
      <c r="G74" s="35">
        <f>'Data Sheet'!F84</f>
        <v>-308.33</v>
      </c>
      <c r="H74" s="35">
        <f>'Data Sheet'!G84</f>
        <v>-426.03</v>
      </c>
      <c r="I74" s="35">
        <f>'Data Sheet'!H84</f>
        <v>-994.77</v>
      </c>
      <c r="J74" s="35">
        <f>'Data Sheet'!I84</f>
        <v>-714.4</v>
      </c>
      <c r="K74" s="35">
        <f>'Data Sheet'!J84</f>
        <v>255.55</v>
      </c>
      <c r="L74" s="35">
        <f>'Data Sheet'!K84</f>
        <v>452.7</v>
      </c>
    </row>
    <row r="75" spans="1:12" x14ac:dyDescent="0.3">
      <c r="B75" s="16" t="s">
        <v>21</v>
      </c>
      <c r="C75" s="36">
        <f>SUM(C72:C74)</f>
        <v>-21.199999999999989</v>
      </c>
      <c r="D75" s="36">
        <f t="shared" ref="D75:L75" si="24">SUM(D72:D74)</f>
        <v>70.409999999999968</v>
      </c>
      <c r="E75" s="36">
        <f t="shared" si="24"/>
        <v>294.08999999999997</v>
      </c>
      <c r="F75" s="36">
        <f t="shared" si="24"/>
        <v>39.310000000000031</v>
      </c>
      <c r="G75" s="36">
        <f t="shared" si="24"/>
        <v>151.86000000000007</v>
      </c>
      <c r="H75" s="36">
        <f t="shared" si="24"/>
        <v>883.83999999999992</v>
      </c>
      <c r="I75" s="36">
        <f t="shared" si="24"/>
        <v>-796.06999999999994</v>
      </c>
      <c r="J75" s="36">
        <f t="shared" si="24"/>
        <v>-86.720000000000027</v>
      </c>
      <c r="K75" s="36">
        <f t="shared" si="24"/>
        <v>281.46000000000009</v>
      </c>
      <c r="L75" s="36">
        <f t="shared" si="24"/>
        <v>205.87000000000006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8B90-7319-4625-9BC2-5BAF4B7743BD}">
  <sheetPr>
    <tabColor rgb="FF002060"/>
  </sheetPr>
  <dimension ref="A1"/>
  <sheetViews>
    <sheetView topLeftCell="A33" workbookViewId="0">
      <selection activeCell="D65" sqref="D6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4DC5-2ED1-411C-AA07-783595870A79}">
  <sheetPr>
    <pageSetUpPr autoPageBreaks="0"/>
  </sheetPr>
  <dimension ref="A2:O40"/>
  <sheetViews>
    <sheetView showGridLines="0" tabSelected="1" workbookViewId="0">
      <selection activeCell="K41" sqref="K41"/>
    </sheetView>
  </sheetViews>
  <sheetFormatPr defaultRowHeight="14.4" x14ac:dyDescent="0.3"/>
  <cols>
    <col min="1" max="1" width="1.88671875" customWidth="1"/>
    <col min="2" max="2" width="43.109375" bestFit="1" customWidth="1"/>
    <col min="14" max="14" width="10" bestFit="1" customWidth="1"/>
  </cols>
  <sheetData>
    <row r="2" spans="1:15" x14ac:dyDescent="0.3">
      <c r="B2" s="9" t="str">
        <f>"Ratio Analysis - "&amp;'Data Sheet'!$B$1</f>
        <v>Ratio Analysis - TATA CONSUMER PRODUCTS LTD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3">
      <c r="A3" t="s">
        <v>59</v>
      </c>
      <c r="B3" s="9" t="s">
        <v>58</v>
      </c>
      <c r="C3" s="11">
        <f>'Data Sheet'!B56</f>
        <v>42460</v>
      </c>
      <c r="D3" s="11">
        <f>'Data Sheet'!C56</f>
        <v>42825</v>
      </c>
      <c r="E3" s="11">
        <f>'Data Sheet'!D56</f>
        <v>43190</v>
      </c>
      <c r="F3" s="11">
        <f>'Data Sheet'!E56</f>
        <v>43555</v>
      </c>
      <c r="G3" s="11">
        <f>'Data Sheet'!F56</f>
        <v>43921</v>
      </c>
      <c r="H3" s="11">
        <f>'Data Sheet'!G56</f>
        <v>44286</v>
      </c>
      <c r="I3" s="11">
        <f>'Data Sheet'!H56</f>
        <v>44651</v>
      </c>
      <c r="J3" s="11">
        <f>'Data Sheet'!I56</f>
        <v>45016</v>
      </c>
      <c r="K3" s="11">
        <f>'Data Sheet'!J56</f>
        <v>45382</v>
      </c>
      <c r="L3" s="11">
        <f>'Data Sheet'!K56</f>
        <v>45747</v>
      </c>
      <c r="M3" s="37" t="s">
        <v>150</v>
      </c>
      <c r="N3" s="37" t="s">
        <v>148</v>
      </c>
      <c r="O3" s="37" t="s">
        <v>149</v>
      </c>
    </row>
    <row r="5" spans="1:15" x14ac:dyDescent="0.3">
      <c r="B5" s="51" t="s">
        <v>10</v>
      </c>
      <c r="C5" s="38"/>
      <c r="D5" s="39">
        <f>Historical_FS!D7</f>
        <v>2.1548879385945074E-2</v>
      </c>
      <c r="E5" s="39">
        <f>Historical_FS!E7</f>
        <v>5.2805864696034988E-3</v>
      </c>
      <c r="F5" s="39">
        <f>Historical_FS!F7</f>
        <v>6.3995246025515984E-2</v>
      </c>
      <c r="G5" s="39">
        <f>Historical_FS!G7</f>
        <v>0.32902433979176715</v>
      </c>
      <c r="H5" s="39">
        <f>Historical_FS!H7</f>
        <v>0.20385227581655685</v>
      </c>
      <c r="I5" s="39">
        <f>Historical_FS!I7</f>
        <v>7.0965167302618593E-2</v>
      </c>
      <c r="J5" s="39">
        <f>Historical_FS!J7</f>
        <v>0.10927561915661266</v>
      </c>
      <c r="K5" s="39">
        <f>Historical_FS!K7</f>
        <v>0.10321943589133409</v>
      </c>
      <c r="L5" s="39">
        <f>Historical_FS!L7</f>
        <v>0.1586527553540249</v>
      </c>
      <c r="M5" s="40"/>
      <c r="N5" s="53">
        <f>AVERAGE(D5:L5)</f>
        <v>0.11842381168821986</v>
      </c>
      <c r="O5" s="53">
        <f>MEDIAN(D5:L5)</f>
        <v>0.10321943589133409</v>
      </c>
    </row>
    <row r="6" spans="1:15" x14ac:dyDescent="0.3">
      <c r="B6" s="2" t="s">
        <v>125</v>
      </c>
      <c r="D6" s="40">
        <f>Historical_FS!D18/Historical_FS!C18-1</f>
        <v>0.15412341691122777</v>
      </c>
      <c r="E6" s="40">
        <f>Historical_FS!E18/Historical_FS!D18-1</f>
        <v>-1.4207454433749045E-2</v>
      </c>
      <c r="F6" s="40">
        <f>Historical_FS!F18/Historical_FS!E18-1</f>
        <v>1.3148441489867713E-2</v>
      </c>
      <c r="G6" s="40">
        <f>Historical_FS!G18/Historical_FS!F18-1</f>
        <v>0.47076363139278632</v>
      </c>
      <c r="H6" s="40">
        <f>Historical_FS!H18/Historical_FS!G18-1</f>
        <v>0.13448390038746094</v>
      </c>
      <c r="I6" s="40">
        <f>Historical_FS!I18/Historical_FS!H18-1</f>
        <v>9.5049616483527721E-2</v>
      </c>
      <c r="J6" s="40">
        <f>Historical_FS!J18/Historical_FS!I18-1</f>
        <v>8.3287742973237266E-2</v>
      </c>
      <c r="K6" s="40">
        <f>Historical_FS!K18/Historical_FS!J18-1</f>
        <v>0.2623266414299481</v>
      </c>
      <c r="L6" s="40">
        <f>Historical_FS!L18/Historical_FS!K18-1</f>
        <v>0.11889675736116234</v>
      </c>
      <c r="M6" s="40"/>
      <c r="N6" s="54">
        <f>AVERAGE(D6:L6)</f>
        <v>0.14643029933282992</v>
      </c>
      <c r="O6" s="54">
        <f>MEDIAN(D6:L6)</f>
        <v>0.11889675736116234</v>
      </c>
    </row>
    <row r="7" spans="1:15" x14ac:dyDescent="0.3">
      <c r="B7" s="2" t="s">
        <v>126</v>
      </c>
      <c r="D7" s="40">
        <f>Historical_FS!D24/Historical_FS!C24-1</f>
        <v>0.16386054327142308</v>
      </c>
      <c r="E7" s="40">
        <f>Historical_FS!E24/Historical_FS!D24-1</f>
        <v>-6.3582820208811786E-3</v>
      </c>
      <c r="F7" s="40">
        <f>Historical_FS!F24/Historical_FS!E24-1</f>
        <v>8.3330927706086744E-3</v>
      </c>
      <c r="G7" s="40">
        <f>Historical_FS!G24/Historical_FS!F24-1</f>
        <v>0.41213295288627672</v>
      </c>
      <c r="H7" s="40">
        <f>Historical_FS!H24/Historical_FS!G24-1</f>
        <v>0.14764556414553875</v>
      </c>
      <c r="I7" s="40">
        <f>Historical_FS!I24/Historical_FS!H24-1</f>
        <v>9.5604861503674421E-2</v>
      </c>
      <c r="J7" s="40">
        <f>Historical_FS!J24/Historical_FS!I24-1</f>
        <v>8.1720950231105594E-2</v>
      </c>
      <c r="K7" s="40">
        <f>Historical_FS!K24/Historical_FS!J24-1</f>
        <v>0.26565473380866189</v>
      </c>
      <c r="L7" s="40">
        <f>Historical_FS!L24/Historical_FS!K24-1</f>
        <v>4.8725719579793214E-2</v>
      </c>
      <c r="M7" s="40"/>
      <c r="N7" s="54">
        <f>AVERAGE(D7:L7)</f>
        <v>0.13525779290846679</v>
      </c>
      <c r="O7" s="54">
        <f>MEDIAN(D7:L7)</f>
        <v>9.5604861503674421E-2</v>
      </c>
    </row>
    <row r="8" spans="1:15" x14ac:dyDescent="0.3">
      <c r="B8" s="2" t="s">
        <v>127</v>
      </c>
      <c r="D8" s="40">
        <f>Historical_FS!D36/Historical_FS!C36-1</f>
        <v>0.29966306814274724</v>
      </c>
      <c r="E8" s="40">
        <f>Historical_FS!E36/Historical_FS!D36-1</f>
        <v>7.2165493889213339E-2</v>
      </c>
      <c r="F8" s="40">
        <f>Historical_FS!F36/Historical_FS!E36-1</f>
        <v>-9.3831729583025436E-2</v>
      </c>
      <c r="G8" s="40">
        <f>Historical_FS!G36/Historical_FS!F36-1</f>
        <v>0.53526016282299205</v>
      </c>
      <c r="H8" s="40">
        <f>Historical_FS!H36/Historical_FS!G36-1</f>
        <v>0.16366796428159924</v>
      </c>
      <c r="I8" s="40">
        <f>Historical_FS!I36/Historical_FS!H36-1</f>
        <v>7.5060200566952284E-2</v>
      </c>
      <c r="J8" s="40">
        <f>Historical_FS!J36/Historical_FS!I36-1</f>
        <v>4.7966373211978608E-2</v>
      </c>
      <c r="K8" s="40">
        <f>Historical_FS!K36/Historical_FS!J36-1</f>
        <v>0.3681761304068476</v>
      </c>
      <c r="L8" s="40">
        <f>Historical_FS!L36/Historical_FS!K36-1</f>
        <v>-1.8677265940933219E-2</v>
      </c>
      <c r="M8" s="40"/>
      <c r="N8" s="54">
        <f>AVERAGE(D8:L8)</f>
        <v>0.16105004419981908</v>
      </c>
      <c r="O8" s="54">
        <f>MEDIAN(D8:L8)</f>
        <v>7.5060200566952284E-2</v>
      </c>
    </row>
    <row r="9" spans="1:15" x14ac:dyDescent="0.3">
      <c r="B9" s="52" t="s">
        <v>128</v>
      </c>
      <c r="C9" s="42"/>
      <c r="D9" s="43">
        <f>Historical_FS!D44/Historical_FS!C44-1</f>
        <v>4.4436619718309922E-2</v>
      </c>
      <c r="E9" s="43">
        <f>Historical_FS!E44/Historical_FS!D44-1</f>
        <v>0</v>
      </c>
      <c r="F9" s="43">
        <f>Historical_FS!F44/Historical_FS!E44-1</f>
        <v>6.385274088058801E-2</v>
      </c>
      <c r="G9" s="43">
        <f>Historical_FS!G44/Historical_FS!F44-1</f>
        <v>8.0053545980786511E-2</v>
      </c>
      <c r="H9" s="43">
        <f>Historical_FS!H44/Historical_FS!G44-1</f>
        <v>0.50002009404010761</v>
      </c>
      <c r="I9" s="43">
        <f>Historical_FS!I44/Historical_FS!H44-1</f>
        <v>0.49382451440053576</v>
      </c>
      <c r="J9" s="43">
        <f>Historical_FS!J44/Historical_FS!I44-1</f>
        <v>0.39665749870104428</v>
      </c>
      <c r="K9" s="43">
        <f>Historical_FS!K44/Historical_FS!J44-1</f>
        <v>-8.2913555388908544E-2</v>
      </c>
      <c r="L9" s="43">
        <f>Historical_FS!L44/Historical_FS!K44-1</f>
        <v>0.10552260231304689</v>
      </c>
      <c r="M9" s="40"/>
      <c r="N9" s="55">
        <f>AVERAGE(D9:L9)</f>
        <v>0.17793934007172341</v>
      </c>
      <c r="O9" s="55">
        <f>MEDIAN(D9:L9)</f>
        <v>8.0053545980786511E-2</v>
      </c>
    </row>
    <row r="10" spans="1:15" x14ac:dyDescent="0.3">
      <c r="B10" s="2"/>
      <c r="M10" s="40"/>
      <c r="N10" s="2"/>
      <c r="O10" s="2"/>
    </row>
    <row r="11" spans="1:15" x14ac:dyDescent="0.3">
      <c r="B11" s="51" t="s">
        <v>129</v>
      </c>
      <c r="C11" s="39">
        <f>Historical_FS!C13</f>
        <v>0.29206484101655383</v>
      </c>
      <c r="D11" s="39">
        <f>Historical_FS!D13</f>
        <v>0.30958396943749944</v>
      </c>
      <c r="E11" s="39">
        <f>Historical_FS!E13</f>
        <v>0.29534946847924165</v>
      </c>
      <c r="F11" s="39">
        <f>Historical_FS!F13</f>
        <v>0.29493070399227739</v>
      </c>
      <c r="G11" s="39">
        <f>Historical_FS!G13</f>
        <v>0.31124823863648154</v>
      </c>
      <c r="H11" s="39">
        <f>Historical_FS!H13</f>
        <v>0.2908491014072539</v>
      </c>
      <c r="I11" s="39">
        <f>Historical_FS!I13</f>
        <v>0.30827572941489889</v>
      </c>
      <c r="J11" s="39">
        <f>Historical_FS!J13</f>
        <v>0.29760882119920234</v>
      </c>
      <c r="K11" s="39">
        <f>Historical_FS!K13</f>
        <v>0.31906272914700595</v>
      </c>
      <c r="L11" s="39">
        <f>Historical_FS!L13</f>
        <v>0.31362560519459876</v>
      </c>
      <c r="M11" s="40"/>
      <c r="N11" s="53">
        <f>AVERAGE(C11:L11)</f>
        <v>0.30325992079250141</v>
      </c>
      <c r="O11" s="53">
        <f>MEDIAN(C11:L11)</f>
        <v>0.30294227530705065</v>
      </c>
    </row>
    <row r="12" spans="1:15" x14ac:dyDescent="0.3">
      <c r="B12" s="2" t="s">
        <v>68</v>
      </c>
      <c r="C12" s="40">
        <f>Historical_FS!C19</f>
        <v>0.15300442700563852</v>
      </c>
      <c r="D12" s="40">
        <f>Historical_FS!D19</f>
        <v>0.17286103059937594</v>
      </c>
      <c r="E12" s="40">
        <f>Historical_FS!E19</f>
        <v>0.16951000315464354</v>
      </c>
      <c r="F12" s="40">
        <f>Historical_FS!F19</f>
        <v>0.16140936357994892</v>
      </c>
      <c r="G12" s="40">
        <f>Historical_FS!G19</f>
        <v>0.17862353202413095</v>
      </c>
      <c r="H12" s="40">
        <f>Historical_FS!H19</f>
        <v>0.16833088692237497</v>
      </c>
      <c r="I12" s="40">
        <f>Historical_FS!I19</f>
        <v>0.17211640377711104</v>
      </c>
      <c r="J12" s="40">
        <f>Historical_FS!J19</f>
        <v>0.16808409682540126</v>
      </c>
      <c r="K12" s="40">
        <f>Historical_FS!K19</f>
        <v>0.1923253221621942</v>
      </c>
      <c r="L12" s="40">
        <f>Historical_FS!L19</f>
        <v>0.18572620513897478</v>
      </c>
      <c r="M12" s="40"/>
      <c r="N12" s="54">
        <f t="shared" ref="N12:N17" si="0">AVERAGE(C12:L12)</f>
        <v>0.17219912711897939</v>
      </c>
      <c r="O12" s="54">
        <f t="shared" ref="O12:O17" si="1">MEDIAN(C12:L12)</f>
        <v>0.17081320346587731</v>
      </c>
    </row>
    <row r="13" spans="1:15" x14ac:dyDescent="0.3">
      <c r="B13" s="2" t="s">
        <v>72</v>
      </c>
      <c r="C13" s="40">
        <f>Historical_FS!C25</f>
        <v>0.13540640152850736</v>
      </c>
      <c r="D13" s="40">
        <f>Historical_FS!D25</f>
        <v>0.15426982616840337</v>
      </c>
      <c r="E13" s="40">
        <f>Historical_FS!E25</f>
        <v>0.15248373157651476</v>
      </c>
      <c r="F13" s="40">
        <f>Historical_FS!F25</f>
        <v>0.14450665379576635</v>
      </c>
      <c r="G13" s="40">
        <f>Historical_FS!G25</f>
        <v>0.15354316819231703</v>
      </c>
      <c r="H13" s="40">
        <f>Historical_FS!H25</f>
        <v>0.14637438448271572</v>
      </c>
      <c r="I13" s="40">
        <f>Historical_FS!I25</f>
        <v>0.14974201975474391</v>
      </c>
      <c r="J13" s="40">
        <f>Historical_FS!J25</f>
        <v>0.14602239254278393</v>
      </c>
      <c r="K13" s="40">
        <f>Historical_FS!K25</f>
        <v>0.16752236803598619</v>
      </c>
      <c r="L13" s="40">
        <f>Historical_FS!L25</f>
        <v>0.15162870424501795</v>
      </c>
      <c r="M13" s="40"/>
      <c r="N13" s="54">
        <f t="shared" si="0"/>
        <v>0.15014996503227565</v>
      </c>
      <c r="O13" s="54">
        <f t="shared" si="1"/>
        <v>0.15068536199988092</v>
      </c>
    </row>
    <row r="14" spans="1:15" x14ac:dyDescent="0.3">
      <c r="B14" s="2" t="s">
        <v>74</v>
      </c>
      <c r="C14" s="40">
        <f>Historical_FS!C31</f>
        <v>0.11779180114939415</v>
      </c>
      <c r="D14" s="40">
        <f>Historical_FS!D31</f>
        <v>0.14076893009123012</v>
      </c>
      <c r="E14" s="40">
        <f>Historical_FS!E31</f>
        <v>0.14620965907840389</v>
      </c>
      <c r="F14" s="40">
        <f>Historical_FS!F31</f>
        <v>0.13727090946700676</v>
      </c>
      <c r="G14" s="40">
        <f>Historical_FS!G31</f>
        <v>0.14546424250473675</v>
      </c>
      <c r="H14" s="40">
        <f>Historical_FS!H31</f>
        <v>0.14045386884881372</v>
      </c>
      <c r="I14" s="40">
        <f>Historical_FS!I31</f>
        <v>0.14388464890783956</v>
      </c>
      <c r="J14" s="40">
        <f>Historical_FS!J31</f>
        <v>0.13969873381720865</v>
      </c>
      <c r="K14" s="40">
        <f>Historical_FS!K31</f>
        <v>0.15898552201948596</v>
      </c>
      <c r="L14" s="40">
        <f>Historical_FS!L31</f>
        <v>0.13515719450798316</v>
      </c>
      <c r="M14" s="40"/>
      <c r="N14" s="54">
        <f t="shared" si="0"/>
        <v>0.14056855103921029</v>
      </c>
      <c r="O14" s="54">
        <f t="shared" si="1"/>
        <v>0.14061139947002194</v>
      </c>
    </row>
    <row r="15" spans="1:15" x14ac:dyDescent="0.3">
      <c r="B15" s="52" t="s">
        <v>76</v>
      </c>
      <c r="C15" s="43">
        <f>Historical_FS!C37</f>
        <v>8.7654108918201384E-2</v>
      </c>
      <c r="D15" s="43">
        <f>Historical_FS!D37</f>
        <v>0.11151772610276482</v>
      </c>
      <c r="E15" s="43">
        <f>Historical_FS!E37</f>
        <v>0.11893739866624604</v>
      </c>
      <c r="F15" s="43">
        <f>Historical_FS!F37</f>
        <v>0.10129490450251667</v>
      </c>
      <c r="G15" s="43">
        <f>Historical_FS!G37</f>
        <v>0.11701368208503936</v>
      </c>
      <c r="H15" s="43">
        <f>Historical_FS!H37</f>
        <v>0.11310779234323667</v>
      </c>
      <c r="I15" s="43">
        <f>Historical_FS!I37</f>
        <v>0.11354028089304402</v>
      </c>
      <c r="J15" s="43">
        <f>Historical_FS!J37</f>
        <v>0.10726495230411588</v>
      </c>
      <c r="K15" s="43">
        <f>Historical_FS!K37</f>
        <v>0.133026433905372</v>
      </c>
      <c r="L15" s="43">
        <f>Historical_FS!L37</f>
        <v>0.1126669428946039</v>
      </c>
      <c r="M15" s="40"/>
      <c r="N15" s="55">
        <f t="shared" si="0"/>
        <v>0.11160242226151407</v>
      </c>
      <c r="O15" s="55">
        <f t="shared" si="1"/>
        <v>0.11288736761892029</v>
      </c>
    </row>
    <row r="16" spans="1:15" x14ac:dyDescent="0.3">
      <c r="B16" s="2"/>
      <c r="M16" s="40"/>
      <c r="N16" s="2"/>
      <c r="O16" s="2"/>
    </row>
    <row r="17" spans="2:15" x14ac:dyDescent="0.3">
      <c r="B17" s="51" t="s">
        <v>130</v>
      </c>
      <c r="C17" s="39">
        <f>Historical_FS!C16</f>
        <v>0.13906041401091532</v>
      </c>
      <c r="D17" s="39">
        <f>Historical_FS!D16</f>
        <v>0.13672293883812348</v>
      </c>
      <c r="E17" s="39">
        <f>Historical_FS!E16</f>
        <v>0.12583946532459814</v>
      </c>
      <c r="F17" s="39">
        <f>Historical_FS!F16</f>
        <v>0.13352134041232849</v>
      </c>
      <c r="G17" s="39">
        <f>Historical_FS!G16</f>
        <v>0.13262470661235062</v>
      </c>
      <c r="H17" s="39">
        <f>Historical_FS!H16</f>
        <v>0.12251821448487893</v>
      </c>
      <c r="I17" s="39">
        <f>Historical_FS!I16</f>
        <v>0.13615932563778782</v>
      </c>
      <c r="J17" s="39">
        <f>Historical_FS!J16</f>
        <v>0.12952472437380108</v>
      </c>
      <c r="K17" s="39">
        <f>Historical_FS!K16</f>
        <v>0.12673740698481176</v>
      </c>
      <c r="L17" s="39">
        <f>Historical_FS!L16</f>
        <v>0.12789940005562397</v>
      </c>
      <c r="M17" s="40"/>
      <c r="N17" s="53">
        <f t="shared" si="0"/>
        <v>0.13106079367352194</v>
      </c>
      <c r="O17" s="53">
        <f t="shared" si="1"/>
        <v>0.13107471549307587</v>
      </c>
    </row>
    <row r="18" spans="2:15" x14ac:dyDescent="0.3">
      <c r="B18" s="2" t="s">
        <v>131</v>
      </c>
      <c r="C18" s="40">
        <f>Historical_FS!C22</f>
        <v>1.7598025477131157E-2</v>
      </c>
      <c r="D18" s="40">
        <f>Historical_FS!D22</f>
        <v>1.8591204430972556E-2</v>
      </c>
      <c r="E18" s="40">
        <f>Historical_FS!E22</f>
        <v>1.7026271578128784E-2</v>
      </c>
      <c r="F18" s="40">
        <f>Historical_FS!F22</f>
        <v>1.6902709784182582E-2</v>
      </c>
      <c r="G18" s="40">
        <f>Historical_FS!G22</f>
        <v>2.5080363831813911E-2</v>
      </c>
      <c r="H18" s="40">
        <f>Historical_FS!H22</f>
        <v>2.1956502439659267E-2</v>
      </c>
      <c r="I18" s="40">
        <f>Historical_FS!I22</f>
        <v>2.237438402236714E-2</v>
      </c>
      <c r="J18" s="40">
        <f>Historical_FS!J22</f>
        <v>2.2061704282617337E-2</v>
      </c>
      <c r="K18" s="40">
        <f>Historical_FS!K22</f>
        <v>2.4802954126208004E-2</v>
      </c>
      <c r="L18" s="40">
        <f>Historical_FS!L22</f>
        <v>3.4097500893956856E-2</v>
      </c>
      <c r="M18" s="40"/>
      <c r="N18" s="54">
        <f>AVERAGE(C18:L18)</f>
        <v>2.2049162086703759E-2</v>
      </c>
      <c r="O18" s="54">
        <f>MEDIAN(C18:L18)</f>
        <v>2.2009103361138302E-2</v>
      </c>
    </row>
    <row r="19" spans="2:15" x14ac:dyDescent="0.3">
      <c r="B19" s="52" t="s">
        <v>132</v>
      </c>
      <c r="C19" s="43">
        <f>Historical_FS!C25</f>
        <v>0.13540640152850736</v>
      </c>
      <c r="D19" s="43">
        <f>Historical_FS!D25</f>
        <v>0.15426982616840337</v>
      </c>
      <c r="E19" s="43">
        <f>Historical_FS!E25</f>
        <v>0.15248373157651476</v>
      </c>
      <c r="F19" s="43">
        <f>Historical_FS!F25</f>
        <v>0.14450665379576635</v>
      </c>
      <c r="G19" s="43">
        <f>Historical_FS!G25</f>
        <v>0.15354316819231703</v>
      </c>
      <c r="H19" s="43">
        <f>Historical_FS!H25</f>
        <v>0.14637438448271572</v>
      </c>
      <c r="I19" s="43">
        <f>Historical_FS!I25</f>
        <v>0.14974201975474391</v>
      </c>
      <c r="J19" s="43">
        <f>Historical_FS!J25</f>
        <v>0.14602239254278393</v>
      </c>
      <c r="K19" s="43">
        <f>Historical_FS!K25</f>
        <v>0.16752236803598619</v>
      </c>
      <c r="L19" s="43">
        <f>Historical_FS!L25</f>
        <v>0.15162870424501795</v>
      </c>
      <c r="M19" s="40"/>
      <c r="N19" s="55">
        <f>AVERAGE(C19:L19)</f>
        <v>0.15014996503227565</v>
      </c>
      <c r="O19" s="55">
        <f>MEDIAN(C19:L19)</f>
        <v>0.15068536199988092</v>
      </c>
    </row>
    <row r="20" spans="2:15" x14ac:dyDescent="0.3">
      <c r="B20" s="2"/>
      <c r="M20" s="40"/>
      <c r="N20" s="2"/>
      <c r="O20" s="2"/>
    </row>
    <row r="21" spans="2:15" x14ac:dyDescent="0.3">
      <c r="B21" s="51" t="s">
        <v>133</v>
      </c>
      <c r="C21" s="39">
        <f>Historical_FS!C24/SUM(Historical_FS!C50:C52)</f>
        <v>0.11822181176179616</v>
      </c>
      <c r="D21" s="39">
        <f>Historical_FS!D24/SUM(Historical_FS!D50:D52)</f>
        <v>0.14830843753456427</v>
      </c>
      <c r="E21" s="39">
        <f>Historical_FS!E24/SUM(Historical_FS!E50:E52)</f>
        <v>0.12831298971006944</v>
      </c>
      <c r="F21" s="39">
        <f>Historical_FS!F24/SUM(Historical_FS!F50:F52)</f>
        <v>0.12367708865674704</v>
      </c>
      <c r="G21" s="39">
        <f>Historical_FS!G24/SUM(Historical_FS!G50:G52)</f>
        <v>9.6080949641520974E-2</v>
      </c>
      <c r="H21" s="39">
        <f>Historical_FS!H24/SUM(Historical_FS!H50:H52)</f>
        <v>0.10503672054655923</v>
      </c>
      <c r="I21" s="39">
        <f>Historical_FS!I24/SUM(Historical_FS!I50:I52)</f>
        <v>0.11239613506142053</v>
      </c>
      <c r="J21" s="39">
        <f>Historical_FS!J24/SUM(Historical_FS!J50:J52)</f>
        <v>0.11258478190946329</v>
      </c>
      <c r="K21" s="39">
        <f>Historical_FS!K24/SUM(Historical_FS!K50:K52)</f>
        <v>0.13040435629960262</v>
      </c>
      <c r="L21" s="39">
        <f>Historical_FS!L24/SUM(Historical_FS!L50:L52)</f>
        <v>0.11929394617071895</v>
      </c>
      <c r="M21" s="40"/>
      <c r="N21" s="53">
        <f>AVERAGE(C21:L21)</f>
        <v>0.11943172172924625</v>
      </c>
      <c r="O21" s="53">
        <f>MEDIAN(C21:L21)</f>
        <v>0.11875787896625756</v>
      </c>
    </row>
    <row r="22" spans="2:15" x14ac:dyDescent="0.3">
      <c r="B22" s="2" t="s">
        <v>134</v>
      </c>
      <c r="C22" s="40">
        <f>Historical_FS!C47</f>
        <v>0.75589630750189107</v>
      </c>
      <c r="D22" s="40">
        <f>Historical_FS!D47</f>
        <v>0.80383313052219441</v>
      </c>
      <c r="E22" s="40">
        <f>Historical_FS!E47</f>
        <v>0.81703676289168514</v>
      </c>
      <c r="F22" s="40">
        <f>Historical_FS!F47</f>
        <v>0.78519889999183157</v>
      </c>
      <c r="G22" s="40">
        <f>Historical_FS!G47</f>
        <v>0.77934930079541731</v>
      </c>
      <c r="H22" s="40">
        <f>Historical_FS!H47</f>
        <v>0.71557137196330101</v>
      </c>
      <c r="I22" s="40">
        <f>Historical_FS!I47</f>
        <v>0.6047789166276818</v>
      </c>
      <c r="J22" s="40">
        <f>Historical_FS!J47</f>
        <v>0.46903852007169589</v>
      </c>
      <c r="K22" s="40">
        <f>Historical_FS!K47</f>
        <v>0.6349479429300271</v>
      </c>
      <c r="L22" s="40">
        <f>Historical_FS!L47</f>
        <v>0.58874559193954656</v>
      </c>
      <c r="M22" s="40"/>
      <c r="N22" s="54">
        <f>AVERAGE(C22:L22)</f>
        <v>0.69543967452352717</v>
      </c>
      <c r="O22" s="54">
        <f>MEDIAN(C22:L22)</f>
        <v>0.7357338397325961</v>
      </c>
    </row>
    <row r="23" spans="2:15" x14ac:dyDescent="0.3">
      <c r="B23" s="2" t="s">
        <v>135</v>
      </c>
      <c r="C23" s="40">
        <f>Historical_FS!C36/SUM(Historical_FS!C50:C51)</f>
        <v>9.3117363542211951E-2</v>
      </c>
      <c r="D23" s="40">
        <f>Historical_FS!D36/SUM(Historical_FS!D50:D51)</f>
        <v>0.12066714547921144</v>
      </c>
      <c r="E23" s="40">
        <f>Historical_FS!E36/SUM(Historical_FS!E50:E51)</f>
        <v>0.11527959497127255</v>
      </c>
      <c r="F23" s="40">
        <f>Historical_FS!F36/SUM(Historical_FS!F50:F51)</f>
        <v>0.10018699644965889</v>
      </c>
      <c r="G23" s="40">
        <f>Historical_FS!G36/SUM(Historical_FS!G50:G51)</f>
        <v>8.1630215579455739E-2</v>
      </c>
      <c r="H23" s="40">
        <f>Historical_FS!H36/SUM(Historical_FS!H50:H51)</f>
        <v>9.028718546411281E-2</v>
      </c>
      <c r="I23" s="40">
        <f>Historical_FS!I36/SUM(Historical_FS!I50:I51)</f>
        <v>9.317035994066826E-2</v>
      </c>
      <c r="J23" s="40">
        <f>Historical_FS!J36/SUM(Historical_FS!J50:J51)</f>
        <v>9.0832238210301577E-2</v>
      </c>
      <c r="K23" s="40">
        <f>Historical_FS!K36/SUM(Historical_FS!K50:K51)</f>
        <v>0.12597661176362154</v>
      </c>
      <c r="L23" s="40">
        <f>Historical_FS!L36/SUM(Historical_FS!L50:L51)</f>
        <v>9.9244640789397348E-2</v>
      </c>
      <c r="M23" s="40"/>
      <c r="N23" s="54">
        <f>AVERAGE(C23:L23)</f>
        <v>0.10103923521899121</v>
      </c>
      <c r="O23" s="54">
        <f>MEDIAN(C23:L23)</f>
        <v>9.6207500365032811E-2</v>
      </c>
    </row>
    <row r="24" spans="2:15" x14ac:dyDescent="0.3">
      <c r="B24" s="2" t="s">
        <v>136</v>
      </c>
      <c r="C24" s="40">
        <f>C22*C23</f>
        <v>7.0387071265869225E-2</v>
      </c>
      <c r="D24" s="40">
        <f t="shared" ref="D24:L24" si="2">D22*D23</f>
        <v>9.6996249301731591E-2</v>
      </c>
      <c r="E24" s="40">
        <f t="shared" si="2"/>
        <v>9.418766710279311E-2</v>
      </c>
      <c r="F24" s="40">
        <f t="shared" si="2"/>
        <v>7.8666719405757701E-2</v>
      </c>
      <c r="G24" s="40">
        <f t="shared" si="2"/>
        <v>6.3618451435628012E-2</v>
      </c>
      <c r="H24" s="40">
        <f t="shared" si="2"/>
        <v>6.4606925173260207E-2</v>
      </c>
      <c r="I24" s="40">
        <f t="shared" si="2"/>
        <v>5.6347469346728511E-2</v>
      </c>
      <c r="J24" s="40">
        <f t="shared" si="2"/>
        <v>4.2603818584959596E-2</v>
      </c>
      <c r="K24" s="40">
        <f t="shared" si="2"/>
        <v>7.9988590496606157E-2</v>
      </c>
      <c r="L24" s="40">
        <f t="shared" si="2"/>
        <v>5.842984478838141E-2</v>
      </c>
      <c r="M24" s="40"/>
      <c r="N24" s="54">
        <f>AVERAGE(C24:L24)</f>
        <v>7.0583280690171543E-2</v>
      </c>
      <c r="O24" s="54">
        <f>MEDIAN(C24:L24)</f>
        <v>6.7496998219564716E-2</v>
      </c>
    </row>
    <row r="25" spans="2:15" x14ac:dyDescent="0.3">
      <c r="B25" s="52" t="s">
        <v>137</v>
      </c>
      <c r="C25" s="44">
        <f>Historical_FS!C24/Historical_FS!C27</f>
        <v>7.6871685201026532</v>
      </c>
      <c r="D25" s="44">
        <f>Historical_FS!D24/Historical_FS!D27</f>
        <v>11.426636075603618</v>
      </c>
      <c r="E25" s="44">
        <f>Historical_FS!E24/Historical_FS!E27</f>
        <v>24.303788587464922</v>
      </c>
      <c r="F25" s="44">
        <f>Historical_FS!F24/Historical_FS!F27</f>
        <v>19.971221650466926</v>
      </c>
      <c r="G25" s="44">
        <f>Historical_FS!G24/Historical_FS!G27</f>
        <v>19.005394297456974</v>
      </c>
      <c r="H25" s="44">
        <f>Historical_FS!H24/Historical_FS!H27</f>
        <v>24.72324938127824</v>
      </c>
      <c r="I25" s="44">
        <f>Historical_FS!I24/Historical_FS!I27</f>
        <v>25.564715581203661</v>
      </c>
      <c r="J25" s="44">
        <f>Historical_FS!J24/Historical_FS!J27</f>
        <v>23.09144102799447</v>
      </c>
      <c r="K25" s="44">
        <f>Historical_FS!K24/Historical_FS!K27</f>
        <v>19.623449657191284</v>
      </c>
      <c r="L25" s="44">
        <f>Historical_FS!L24/Historical_FS!L27</f>
        <v>9.2055134390075803</v>
      </c>
      <c r="M25" s="40"/>
      <c r="N25" s="56">
        <f>AVERAGE(C25:L25)</f>
        <v>18.460257821777034</v>
      </c>
      <c r="O25" s="56">
        <f>MEDIAN(C25:L25)</f>
        <v>19.797335653829105</v>
      </c>
    </row>
    <row r="26" spans="2:15" x14ac:dyDescent="0.3">
      <c r="B26" s="2"/>
      <c r="M26" s="40"/>
      <c r="N26" s="2"/>
      <c r="O26" s="2"/>
    </row>
    <row r="27" spans="2:15" x14ac:dyDescent="0.3">
      <c r="B27" s="51" t="s">
        <v>138</v>
      </c>
      <c r="C27" s="45">
        <f>Historical_FS!C6/Historical_FS!C62</f>
        <v>11.202234863190588</v>
      </c>
      <c r="D27" s="45">
        <f>Historical_FS!D6/AVERAGE(Historical_FS!C62:D62)</f>
        <v>11.443437310107353</v>
      </c>
      <c r="E27" s="45">
        <f>Historical_FS!E6/AVERAGE(Historical_FS!D62:E62)</f>
        <v>10.986032416400024</v>
      </c>
      <c r="F27" s="45">
        <f>Historical_FS!F6/AVERAGE(Historical_FS!E62:F62)</f>
        <v>10.914112414680584</v>
      </c>
      <c r="G27" s="45">
        <f>Historical_FS!G6/AVERAGE(Historical_FS!F62:G62)</f>
        <v>12.024529620202625</v>
      </c>
      <c r="H27" s="45">
        <f>Historical_FS!H6/AVERAGE(Historical_FS!G62:H62)</f>
        <v>13.781342614314648</v>
      </c>
      <c r="I27" s="45">
        <f>Historical_FS!I6/AVERAGE(Historical_FS!H62:I62)</f>
        <v>15.566055109084418</v>
      </c>
      <c r="J27" s="45">
        <f>Historical_FS!J6/AVERAGE(Historical_FS!I62:J62)</f>
        <v>16.875823395450205</v>
      </c>
      <c r="K27" s="45">
        <f>Historical_FS!K6/AVERAGE(Historical_FS!J62:K62)</f>
        <v>17.941159119333602</v>
      </c>
      <c r="L27" s="45">
        <f>Historical_FS!L6/AVERAGE(Historical_FS!K62:L62)</f>
        <v>19.946675422011388</v>
      </c>
      <c r="M27" s="40"/>
      <c r="N27" s="57">
        <f>AVERAGE(C27:L27)</f>
        <v>14.068140228477546</v>
      </c>
      <c r="O27" s="57">
        <f>MEDIAN(C27:L27)</f>
        <v>12.902936117258637</v>
      </c>
    </row>
    <row r="28" spans="2:15" x14ac:dyDescent="0.3">
      <c r="B28" s="2" t="s">
        <v>139</v>
      </c>
      <c r="C28" s="46">
        <f>Historical_FS!C9/'Breakup of Other Liabilities'!C5</f>
        <v>6.1095448634590372</v>
      </c>
      <c r="D28" s="46">
        <f>Historical_FS!D9/AVERAGE('Breakup of Other Liabilities'!C5:D5)</f>
        <v>6.126583769633509</v>
      </c>
      <c r="E28" s="46">
        <f>Historical_FS!E9/AVERAGE('Breakup of Other Liabilities'!D5:E5)</f>
        <v>6.6886350974930373</v>
      </c>
      <c r="F28" s="46">
        <f>Historical_FS!F9/AVERAGE('Breakup of Other Liabilities'!E5:F5)</f>
        <v>7.2265865724381628</v>
      </c>
      <c r="G28" s="46">
        <f>Historical_FS!G9/AVERAGE('Breakup of Other Liabilities'!F5:G5)</f>
        <v>9.1936149584487534</v>
      </c>
      <c r="H28" s="46">
        <f>Historical_FS!H9/AVERAGE('Breakup of Other Liabilities'!G5:H5)</f>
        <v>12.002319474835884</v>
      </c>
      <c r="I28" s="46">
        <f>Historical_FS!I9/AVERAGE('Breakup of Other Liabilities'!H5:I5)</f>
        <v>10.683567433188314</v>
      </c>
      <c r="J28" s="46">
        <f>Historical_FS!J9/AVERAGE('Breakup of Other Liabilities'!I5:J5)</f>
        <v>7.5369170883612311</v>
      </c>
      <c r="K28" s="46">
        <f>Historical_FS!K9/AVERAGE('Breakup of Other Liabilities'!J5:K5)</f>
        <v>5.8481954250211805</v>
      </c>
      <c r="L28" s="46">
        <f>Historical_FS!L9/AVERAGE('Breakup of Other Liabilities'!K5:L5)</f>
        <v>5.6720215759849903</v>
      </c>
      <c r="M28" s="40"/>
      <c r="N28" s="58">
        <f>AVERAGE(C28:L28)</f>
        <v>7.7087986258864092</v>
      </c>
      <c r="O28" s="58">
        <f>MEDIAN(C28:L28)</f>
        <v>6.9576108349655996</v>
      </c>
    </row>
    <row r="29" spans="2:15" x14ac:dyDescent="0.3">
      <c r="B29" s="2" t="s">
        <v>32</v>
      </c>
      <c r="C29" s="46">
        <f>Historical_FS!C9/Historical_FS!C63</f>
        <v>2.8841075254295552</v>
      </c>
      <c r="D29" s="46">
        <f>Historical_FS!D9/AVERAGE(Historical_FS!C63:D63)</f>
        <v>3.0374792746198054</v>
      </c>
      <c r="E29" s="46">
        <f>Historical_FS!E9/AVERAGE(Historical_FS!D63:E63)</f>
        <v>3.3105777814543291</v>
      </c>
      <c r="F29" s="46">
        <f>Historical_FS!F9/AVERAGE(Historical_FS!E63:F63)</f>
        <v>3.345149418519064</v>
      </c>
      <c r="G29" s="46">
        <f>Historical_FS!G9/AVERAGE(Historical_FS!F63:G63)</f>
        <v>3.9979822741276352</v>
      </c>
      <c r="H29" s="46">
        <f>Historical_FS!H9/AVERAGE(Historical_FS!G63:H63)</f>
        <v>4.1541001567710705</v>
      </c>
      <c r="I29" s="46">
        <f>Historical_FS!I9/AVERAGE(Historical_FS!H63:I63)</f>
        <v>3.8067130680497017</v>
      </c>
      <c r="J29" s="46">
        <f>Historical_FS!J9/AVERAGE(Historical_FS!I63:J63)</f>
        <v>3.8972702277292695</v>
      </c>
      <c r="K29" s="46">
        <f>Historical_FS!K9/AVERAGE(Historical_FS!J63:K63)</f>
        <v>3.7851186798805339</v>
      </c>
      <c r="L29" s="46">
        <f>Historical_FS!L9/AVERAGE(Historical_FS!K63:L63)</f>
        <v>3.7972229112958176</v>
      </c>
      <c r="M29" s="40"/>
      <c r="N29" s="58">
        <f>AVERAGE(C29:L29)</f>
        <v>3.601572131787679</v>
      </c>
      <c r="O29" s="58">
        <f>MEDIAN(C29:L29)</f>
        <v>3.7911707955881759</v>
      </c>
    </row>
    <row r="30" spans="2:15" x14ac:dyDescent="0.3">
      <c r="B30" s="2" t="s">
        <v>140</v>
      </c>
      <c r="C30" s="46">
        <f>Historical_FS!C6/Historical_FS!C56</f>
        <v>1.4236003260543137</v>
      </c>
      <c r="D30" s="46">
        <f>Historical_FS!D6/AVERAGE(Historical_FS!C56:D56)</f>
        <v>1.4683265489111896</v>
      </c>
      <c r="E30" s="46">
        <f>Historical_FS!E6/AVERAGE(Historical_FS!D56:E56)</f>
        <v>1.4545976477920171</v>
      </c>
      <c r="F30" s="46">
        <f>Historical_FS!F6/AVERAGE(Historical_FS!E56:F56)</f>
        <v>1.493385669964135</v>
      </c>
      <c r="G30" s="46">
        <f>Historical_FS!G6/AVERAGE(Historical_FS!F56:G56)</f>
        <v>1.1632828083177673</v>
      </c>
      <c r="H30" s="46">
        <f>Historical_FS!H6/AVERAGE(Historical_FS!G56:H56)</f>
        <v>0.97993552983487187</v>
      </c>
      <c r="I30" s="46">
        <f>Historical_FS!I6/AVERAGE(Historical_FS!H56:I56)</f>
        <v>1.0092703903099933</v>
      </c>
      <c r="J30" s="46">
        <f>Historical_FS!J6/AVERAGE(Historical_FS!I56:J56)</f>
        <v>1.0738985227151872</v>
      </c>
      <c r="K30" s="46">
        <f>Historical_FS!K6/AVERAGE(Historical_FS!J56:K56)</f>
        <v>0.93782398758601371</v>
      </c>
      <c r="L30" s="46">
        <f>Historical_FS!L6/AVERAGE(Historical_FS!K56:L56)</f>
        <v>0.86290741657715941</v>
      </c>
      <c r="M30" s="40"/>
      <c r="N30" s="58">
        <f>AVERAGE(C30:L30)</f>
        <v>1.1867028848062646</v>
      </c>
      <c r="O30" s="58">
        <f>MEDIAN(C30:L30)</f>
        <v>1.1185906655164772</v>
      </c>
    </row>
    <row r="31" spans="2:15" x14ac:dyDescent="0.3">
      <c r="B31" s="52" t="s">
        <v>141</v>
      </c>
      <c r="C31" s="44">
        <f>Historical_FS!C6/SUM(Historical_FS!C50:C52)</f>
        <v>0.87308879364102077</v>
      </c>
      <c r="D31" s="44">
        <f>Historical_FS!D6/AVERAGE(SUM(Historical_FS!C50:C52),SUM(Historical_FS!D50:D52))</f>
        <v>0.92532866361661015</v>
      </c>
      <c r="E31" s="44">
        <f>Historical_FS!E6/AVERAGE(SUM(Historical_FS!D50:D52),SUM(Historical_FS!E50:E52))</f>
        <v>0.89964253750848133</v>
      </c>
      <c r="F31" s="44">
        <f>Historical_FS!F6/AVERAGE(SUM(Historical_FS!E50:E52),SUM(Historical_FS!F50:F52))</f>
        <v>0.87515244114006974</v>
      </c>
      <c r="G31" s="44">
        <f>Historical_FS!G6/AVERAGE(SUM(Historical_FS!F50:F52),SUM(Historical_FS!G50:G52))</f>
        <v>0.80735797188318492</v>
      </c>
      <c r="H31" s="44">
        <f>Historical_FS!H6/AVERAGE(SUM(Historical_FS!G50:G52),SUM(Historical_FS!H50:H52))</f>
        <v>0.73502117884370999</v>
      </c>
      <c r="I31" s="44">
        <f>Historical_FS!I6/AVERAGE(SUM(Historical_FS!H50:H52),SUM(Historical_FS!I50:I52))</f>
        <v>0.7594502904925462</v>
      </c>
      <c r="J31" s="44">
        <f>Historical_FS!J6/AVERAGE(SUM(Historical_FS!I50:I52),SUM(Historical_FS!J50:J52))</f>
        <v>0.8006319941215253</v>
      </c>
      <c r="K31" s="44">
        <f>Historical_FS!K6/AVERAGE(SUM(Historical_FS!J50:J52),SUM(Historical_FS!K50:K52))</f>
        <v>0.81291318326599082</v>
      </c>
      <c r="L31" s="44">
        <f>Historical_FS!L6/AVERAGE(SUM(Historical_FS!K50:K52),SUM(Historical_FS!L50:L52))</f>
        <v>0.84041197516586252</v>
      </c>
      <c r="M31" s="40"/>
      <c r="N31" s="56">
        <f>AVERAGE(C31:L31)</f>
        <v>0.83289990296790017</v>
      </c>
      <c r="O31" s="56">
        <f>MEDIAN(C31:L31)</f>
        <v>0.82666257921592667</v>
      </c>
    </row>
    <row r="32" spans="2:15" x14ac:dyDescent="0.3">
      <c r="B32" s="2"/>
      <c r="M32" s="40"/>
      <c r="N32" s="2"/>
      <c r="O32" s="2"/>
    </row>
    <row r="33" spans="2:15" x14ac:dyDescent="0.3">
      <c r="B33" s="51" t="s">
        <v>31</v>
      </c>
      <c r="C33" s="47">
        <f>365/C27</f>
        <v>32.582784101354015</v>
      </c>
      <c r="D33" s="47">
        <f t="shared" ref="D33:L33" si="3">365/D27</f>
        <v>31.896010797176803</v>
      </c>
      <c r="E33" s="47">
        <f t="shared" si="3"/>
        <v>33.224005370230429</v>
      </c>
      <c r="F33" s="47">
        <f t="shared" si="3"/>
        <v>33.442939391849961</v>
      </c>
      <c r="G33" s="47">
        <f t="shared" si="3"/>
        <v>30.354617729641337</v>
      </c>
      <c r="H33" s="47">
        <f t="shared" si="3"/>
        <v>26.485082782926778</v>
      </c>
      <c r="I33" s="47">
        <f t="shared" si="3"/>
        <v>23.448458677689274</v>
      </c>
      <c r="J33" s="47">
        <f t="shared" si="3"/>
        <v>21.628574289205087</v>
      </c>
      <c r="K33" s="47">
        <f t="shared" si="3"/>
        <v>20.344281970425854</v>
      </c>
      <c r="L33" s="47">
        <f t="shared" si="3"/>
        <v>18.298788759414929</v>
      </c>
      <c r="M33" s="40"/>
      <c r="N33" s="59">
        <f>AVERAGE(C33:L33)</f>
        <v>27.170554386991448</v>
      </c>
      <c r="O33" s="59">
        <f>MEDIAN(C33:L33)</f>
        <v>28.419850256284057</v>
      </c>
    </row>
    <row r="34" spans="2:15" x14ac:dyDescent="0.3">
      <c r="B34" s="2" t="s">
        <v>142</v>
      </c>
      <c r="C34" s="48">
        <f t="shared" ref="C34:L35" si="4">365/C28</f>
        <v>59.742584457158429</v>
      </c>
      <c r="D34" s="48">
        <f t="shared" si="4"/>
        <v>59.576431780648647</v>
      </c>
      <c r="E34" s="48">
        <f t="shared" si="4"/>
        <v>54.570176826779708</v>
      </c>
      <c r="F34" s="48">
        <f t="shared" si="4"/>
        <v>50.507939860859288</v>
      </c>
      <c r="G34" s="48">
        <f t="shared" si="4"/>
        <v>39.701466903894215</v>
      </c>
      <c r="H34" s="48">
        <f t="shared" si="4"/>
        <v>30.410788578429411</v>
      </c>
      <c r="I34" s="48">
        <f t="shared" si="4"/>
        <v>34.164617978273242</v>
      </c>
      <c r="J34" s="48">
        <f t="shared" si="4"/>
        <v>48.428289142737903</v>
      </c>
      <c r="K34" s="48">
        <f t="shared" si="4"/>
        <v>62.412415022652574</v>
      </c>
      <c r="L34" s="48">
        <f t="shared" si="4"/>
        <v>64.350954084058628</v>
      </c>
      <c r="M34" s="40"/>
      <c r="N34" s="60">
        <f>AVERAGE(C34:L34)</f>
        <v>50.386566463549208</v>
      </c>
      <c r="O34" s="60">
        <f>MEDIAN(C34:L34)</f>
        <v>52.539058343819498</v>
      </c>
    </row>
    <row r="35" spans="2:15" x14ac:dyDescent="0.3">
      <c r="B35" s="2" t="s">
        <v>143</v>
      </c>
      <c r="C35" s="48">
        <f t="shared" si="4"/>
        <v>126.5556144428552</v>
      </c>
      <c r="D35" s="48">
        <f t="shared" si="4"/>
        <v>120.16542896270008</v>
      </c>
      <c r="E35" s="48">
        <f t="shared" si="4"/>
        <v>110.25265802383787</v>
      </c>
      <c r="F35" s="48">
        <f t="shared" si="4"/>
        <v>109.11321269517153</v>
      </c>
      <c r="G35" s="48">
        <f t="shared" si="4"/>
        <v>91.296052601844877</v>
      </c>
      <c r="H35" s="48">
        <f t="shared" si="4"/>
        <v>87.864997526614744</v>
      </c>
      <c r="I35" s="48">
        <f t="shared" si="4"/>
        <v>95.883244540676912</v>
      </c>
      <c r="J35" s="48">
        <f t="shared" si="4"/>
        <v>93.655296828792373</v>
      </c>
      <c r="K35" s="48">
        <f t="shared" si="4"/>
        <v>96.430265698173599</v>
      </c>
      <c r="L35" s="48">
        <f t="shared" si="4"/>
        <v>96.122879411217468</v>
      </c>
      <c r="M35" s="40"/>
      <c r="N35" s="60">
        <f>AVERAGE(C35:L35)</f>
        <v>102.73396507318849</v>
      </c>
      <c r="O35" s="60">
        <f>MEDIAN(C35:L35)</f>
        <v>96.276572554695534</v>
      </c>
    </row>
    <row r="36" spans="2:15" x14ac:dyDescent="0.3">
      <c r="B36" s="52" t="s">
        <v>144</v>
      </c>
      <c r="C36" s="49">
        <f>SUM(C33,C35)-C34</f>
        <v>99.395814087050795</v>
      </c>
      <c r="D36" s="49">
        <f t="shared" ref="D36:L36" si="5">SUM(D33,D35)-D34</f>
        <v>92.485007979228243</v>
      </c>
      <c r="E36" s="49">
        <f t="shared" si="5"/>
        <v>88.906486567288567</v>
      </c>
      <c r="F36" s="49">
        <f t="shared" si="5"/>
        <v>92.048212226162178</v>
      </c>
      <c r="G36" s="49">
        <f t="shared" si="5"/>
        <v>81.949203427591996</v>
      </c>
      <c r="H36" s="49">
        <f t="shared" si="5"/>
        <v>83.939291731112121</v>
      </c>
      <c r="I36" s="49">
        <f t="shared" si="5"/>
        <v>85.167085240092945</v>
      </c>
      <c r="J36" s="49">
        <f t="shared" si="5"/>
        <v>66.855581975259554</v>
      </c>
      <c r="K36" s="49">
        <f t="shared" si="5"/>
        <v>54.362132645946879</v>
      </c>
      <c r="L36" s="49">
        <f t="shared" si="5"/>
        <v>50.070714086573773</v>
      </c>
      <c r="M36" s="40"/>
      <c r="N36" s="61">
        <f>AVERAGE(C36:L36)</f>
        <v>79.517952996630697</v>
      </c>
      <c r="O36" s="61">
        <f>MEDIAN(C36:L36)</f>
        <v>84.553188485602533</v>
      </c>
    </row>
    <row r="37" spans="2:15" x14ac:dyDescent="0.3">
      <c r="B37" s="2"/>
      <c r="M37" s="40"/>
      <c r="N37" s="2"/>
      <c r="O37" s="2"/>
    </row>
    <row r="38" spans="2:15" x14ac:dyDescent="0.3">
      <c r="B38" s="51" t="s">
        <v>145</v>
      </c>
      <c r="C38" s="39">
        <f>Historical_FS!C$72/Historical_FS!C6</f>
        <v>1.7475973926172374E-2</v>
      </c>
      <c r="D38" s="39">
        <f>Historical_FS!D$72/Historical_FS!D6</f>
        <v>0.10932879025894049</v>
      </c>
      <c r="E38" s="39">
        <f>Historical_FS!E$72/Historical_FS!E6</f>
        <v>5.2173402686582486E-2</v>
      </c>
      <c r="F38" s="39">
        <f>Historical_FS!F$72/Historical_FS!F6</f>
        <v>2.8941598290008964E-2</v>
      </c>
      <c r="G38" s="39">
        <f>Historical_FS!G$72/Historical_FS!G6</f>
        <v>0.11229457676432074</v>
      </c>
      <c r="H38" s="39">
        <f>Historical_FS!H$72/Historical_FS!H6</f>
        <v>0.14276553327305652</v>
      </c>
      <c r="I38" s="39">
        <f>Historical_FS!I$72/Historical_FS!I6</f>
        <v>0.12199314789016343</v>
      </c>
      <c r="J38" s="39">
        <f>Historical_FS!J$72/Historical_FS!J6</f>
        <v>0.1060199547854048</v>
      </c>
      <c r="K38" s="39">
        <f>Historical_FS!K$72/Historical_FS!K6</f>
        <v>0.12736413945948435</v>
      </c>
      <c r="L38" s="39">
        <f>Historical_FS!L$72/Historical_FS!L6</f>
        <v>0.11673373708019504</v>
      </c>
      <c r="M38" s="40"/>
      <c r="N38" s="62">
        <f>AVERAGE(C38:L38)</f>
        <v>9.3509085441432924E-2</v>
      </c>
      <c r="O38" s="62">
        <f>MEDIAN(C38:L38)</f>
        <v>0.11081168351163062</v>
      </c>
    </row>
    <row r="39" spans="2:15" x14ac:dyDescent="0.3">
      <c r="B39" s="2" t="s">
        <v>146</v>
      </c>
      <c r="C39" s="40">
        <f>Historical_FS!C$72/Historical_FS!C67</f>
        <v>1.1721355545763619E-2</v>
      </c>
      <c r="D39" s="40">
        <f>Historical_FS!D$72/Historical_FS!D67</f>
        <v>7.7601108108645747E-2</v>
      </c>
      <c r="E39" s="40">
        <f>Historical_FS!E$72/Historical_FS!E67</f>
        <v>3.3991794095266502E-2</v>
      </c>
      <c r="F39" s="40">
        <f>Historical_FS!F$72/Historical_FS!F67</f>
        <v>1.928831653903984E-2</v>
      </c>
      <c r="G39" s="40">
        <f>Historical_FS!G$72/Historical_FS!G67</f>
        <v>5.8584293651721644E-2</v>
      </c>
      <c r="H39" s="40">
        <f>Historical_FS!H$72/Historical_FS!H67</f>
        <v>8.1926241305937036E-2</v>
      </c>
      <c r="I39" s="40">
        <f>Historical_FS!I$72/Historical_FS!I67</f>
        <v>7.1924998825615538E-2</v>
      </c>
      <c r="J39" s="40">
        <f>Historical_FS!J$72/Historical_FS!J67</f>
        <v>6.4197282458992852E-2</v>
      </c>
      <c r="K39" s="40">
        <f>Historical_FS!K$72/Historical_FS!K67</f>
        <v>6.9467864279619027E-2</v>
      </c>
      <c r="L39" s="40">
        <f>Historical_FS!L$72/Historical_FS!L67</f>
        <v>6.4612313552170841E-2</v>
      </c>
      <c r="M39" s="40"/>
      <c r="N39" s="63">
        <f>AVERAGE(C39:L39)</f>
        <v>5.533155683627726E-2</v>
      </c>
      <c r="O39" s="63">
        <f>MEDIAN(C39:L39)</f>
        <v>6.4404798005581854E-2</v>
      </c>
    </row>
    <row r="40" spans="2:15" x14ac:dyDescent="0.3">
      <c r="B40" s="52" t="s">
        <v>147</v>
      </c>
      <c r="C40" s="43">
        <f>Historical_FS!C$72/Historical_FS!C52</f>
        <v>8.5654148665115767E-2</v>
      </c>
      <c r="D40" s="43">
        <f>Historical_FS!D$72/Historical_FS!D52</f>
        <v>0.94233116354759983</v>
      </c>
      <c r="E40" s="43">
        <f>Historical_FS!E$72/Historical_FS!E52</f>
        <v>0.33307105790666741</v>
      </c>
      <c r="F40" s="43">
        <f>Historical_FS!F$72/Historical_FS!F52</f>
        <v>0.18391902550170888</v>
      </c>
      <c r="G40" s="43">
        <f>Historical_FS!G$72/Historical_FS!G52</f>
        <v>0.68222678904634626</v>
      </c>
      <c r="H40" s="43">
        <f>Historical_FS!H$72/Historical_FS!H52</f>
        <v>1.0139695754644791</v>
      </c>
      <c r="I40" s="43">
        <f>Historical_FS!I$72/Historical_FS!I52</f>
        <v>1.0735122272505151</v>
      </c>
      <c r="J40" s="43">
        <f>Historical_FS!J$72/Historical_FS!J52</f>
        <v>0.91328341791455214</v>
      </c>
      <c r="K40" s="43">
        <f>Historical_FS!K$72/Historical_FS!K52</f>
        <v>0.55696217092965072</v>
      </c>
      <c r="L40" s="43">
        <f>Historical_FS!L$72/Historical_FS!L52</f>
        <v>0.85955915542404338</v>
      </c>
      <c r="M40" s="40"/>
      <c r="N40" s="64">
        <f>AVERAGE(C40:L40)</f>
        <v>0.66444887316506784</v>
      </c>
      <c r="O40" s="64">
        <f>MEDIAN(C40:L40)</f>
        <v>0.77089297223519482</v>
      </c>
    </row>
  </sheetData>
  <pageMargins left="0.7" right="0.7" top="0.75" bottom="0.75" header="0.3" footer="0.3"/>
  <pageSetup paperSize="9" orientation="portrait" r:id="rId1"/>
  <ignoredErrors>
    <ignoredError sqref="D28:L28" formulaRange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markers="1" xr2:uid="{F0C85D46-B65A-4ADB-B576-A43C357A6C69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Analysis'!D40:L40</xm:f>
              <xm:sqref>M40</xm:sqref>
            </x14:sparkline>
            <x14:sparkline>
              <xm:f>'Ratio Analysis'!D39:L39</xm:f>
              <xm:sqref>M39</xm:sqref>
            </x14:sparkline>
            <x14:sparkline>
              <xm:f>'Ratio Analysis'!D38:L38</xm:f>
              <xm:sqref>M38</xm:sqref>
            </x14:sparkline>
            <x14:sparkline>
              <xm:f>'Ratio Analysis'!D37:L37</xm:f>
              <xm:sqref>M37</xm:sqref>
            </x14:sparkline>
            <x14:sparkline>
              <xm:f>'Ratio Analysis'!D36:L36</xm:f>
              <xm:sqref>M36</xm:sqref>
            </x14:sparkline>
            <x14:sparkline>
              <xm:f>'Ratio Analysis'!D35:L35</xm:f>
              <xm:sqref>M35</xm:sqref>
            </x14:sparkline>
            <x14:sparkline>
              <xm:f>'Ratio Analysis'!D34:L34</xm:f>
              <xm:sqref>M34</xm:sqref>
            </x14:sparkline>
            <x14:sparkline>
              <xm:f>'Ratio Analysis'!D33:L33</xm:f>
              <xm:sqref>M33</xm:sqref>
            </x14:sparkline>
            <x14:sparkline>
              <xm:f>'Ratio Analysis'!D32:L32</xm:f>
              <xm:sqref>M32</xm:sqref>
            </x14:sparkline>
            <x14:sparkline>
              <xm:f>'Ratio Analysis'!D31:L31</xm:f>
              <xm:sqref>M31</xm:sqref>
            </x14:sparkline>
            <x14:sparkline>
              <xm:f>'Ratio Analysis'!D30:L30</xm:f>
              <xm:sqref>M30</xm:sqref>
            </x14:sparkline>
            <x14:sparkline>
              <xm:f>'Ratio Analysis'!D29:L29</xm:f>
              <xm:sqref>M29</xm:sqref>
            </x14:sparkline>
            <x14:sparkline>
              <xm:f>'Ratio Analysis'!D28:L28</xm:f>
              <xm:sqref>M28</xm:sqref>
            </x14:sparkline>
            <x14:sparkline>
              <xm:f>'Ratio Analysis'!D27:L27</xm:f>
              <xm:sqref>M27</xm:sqref>
            </x14:sparkline>
            <x14:sparkline>
              <xm:f>'Ratio Analysis'!D26:L26</xm:f>
              <xm:sqref>M26</xm:sqref>
            </x14:sparkline>
            <x14:sparkline>
              <xm:f>'Ratio Analysis'!D25:L25</xm:f>
              <xm:sqref>M25</xm:sqref>
            </x14:sparkline>
            <x14:sparkline>
              <xm:f>'Ratio Analysis'!D24:L24</xm:f>
              <xm:sqref>M24</xm:sqref>
            </x14:sparkline>
            <x14:sparkline>
              <xm:f>'Ratio Analysis'!D23:L23</xm:f>
              <xm:sqref>M23</xm:sqref>
            </x14:sparkline>
            <x14:sparkline>
              <xm:f>'Ratio Analysis'!D22:L22</xm:f>
              <xm:sqref>M22</xm:sqref>
            </x14:sparkline>
            <x14:sparkline>
              <xm:f>'Ratio Analysis'!D21:L21</xm:f>
              <xm:sqref>M21</xm:sqref>
            </x14:sparkline>
            <x14:sparkline>
              <xm:f>'Ratio Analysis'!D20:L20</xm:f>
              <xm:sqref>M20</xm:sqref>
            </x14:sparkline>
            <x14:sparkline>
              <xm:f>'Ratio Analysis'!D19:L19</xm:f>
              <xm:sqref>M19</xm:sqref>
            </x14:sparkline>
            <x14:sparkline>
              <xm:f>'Ratio Analysis'!D18:L18</xm:f>
              <xm:sqref>M18</xm:sqref>
            </x14:sparkline>
            <x14:sparkline>
              <xm:f>'Ratio Analysis'!D17:L17</xm:f>
              <xm:sqref>M17</xm:sqref>
            </x14:sparkline>
            <x14:sparkline>
              <xm:f>'Ratio Analysis'!D16:L16</xm:f>
              <xm:sqref>M16</xm:sqref>
            </x14:sparkline>
            <x14:sparkline>
              <xm:f>'Ratio Analysis'!D15:L15</xm:f>
              <xm:sqref>M15</xm:sqref>
            </x14:sparkline>
            <x14:sparkline>
              <xm:f>'Ratio Analysis'!D14:L14</xm:f>
              <xm:sqref>M14</xm:sqref>
            </x14:sparkline>
            <x14:sparkline>
              <xm:f>'Ratio Analysis'!D13:L13</xm:f>
              <xm:sqref>M13</xm:sqref>
            </x14:sparkline>
            <x14:sparkline>
              <xm:f>'Ratio Analysis'!D12:L12</xm:f>
              <xm:sqref>M12</xm:sqref>
            </x14:sparkline>
            <x14:sparkline>
              <xm:f>'Ratio Analysis'!D11:L11</xm:f>
              <xm:sqref>M11</xm:sqref>
            </x14:sparkline>
            <x14:sparkline>
              <xm:f>'Ratio Analysis'!D10:L10</xm:f>
              <xm:sqref>M10</xm:sqref>
            </x14:sparkline>
            <x14:sparkline>
              <xm:f>'Ratio Analysis'!D9:L9</xm:f>
              <xm:sqref>M9</xm:sqref>
            </x14:sparkline>
            <x14:sparkline>
              <xm:f>'Ratio Analysis'!D8:L8</xm:f>
              <xm:sqref>M8</xm:sqref>
            </x14:sparkline>
            <x14:sparkline>
              <xm:f>'Ratio Analysis'!D7:L7</xm:f>
              <xm:sqref>M7</xm:sqref>
            </x14:sparkline>
            <x14:sparkline>
              <xm:f>'Ratio Analysis'!D6:L6</xm:f>
              <xm:sqref>M6</xm:sqref>
            </x14:sparkline>
            <x14:sparkline>
              <xm:f>'Ratio Analysis'!D5:L5</xm:f>
              <xm:sqref>M5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6EE9-63E6-4222-8ACE-58241B8D1180}">
  <dimension ref="A2:R89"/>
  <sheetViews>
    <sheetView showGridLines="0" topLeftCell="A33" zoomScale="88" workbookViewId="0">
      <selection activeCell="F64" sqref="F64"/>
    </sheetView>
  </sheetViews>
  <sheetFormatPr defaultRowHeight="14.4" x14ac:dyDescent="0.3"/>
  <cols>
    <col min="1" max="1" width="1.88671875" customWidth="1"/>
    <col min="18" max="18" width="5.88671875" customWidth="1"/>
  </cols>
  <sheetData>
    <row r="2" spans="2:18" x14ac:dyDescent="0.3">
      <c r="B2" s="9" t="str">
        <f>"Dupont Analysis - "&amp;'Data Sheet'!$B$1</f>
        <v>Dupont Analysis - TATA CONSUMER PRODUCTS LTD</v>
      </c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</row>
    <row r="51" spans="1:12" x14ac:dyDescent="0.3">
      <c r="A51" t="s">
        <v>59</v>
      </c>
      <c r="B51" s="14" t="s">
        <v>606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x14ac:dyDescent="0.3">
      <c r="F52" s="110">
        <f>Historical_FS!F3</f>
        <v>43555</v>
      </c>
      <c r="G52" s="110">
        <f>Historical_FS!G3</f>
        <v>43921</v>
      </c>
      <c r="H52" s="110">
        <f>Historical_FS!H3</f>
        <v>44286</v>
      </c>
      <c r="I52" s="110">
        <f>Historical_FS!I3</f>
        <v>44651</v>
      </c>
      <c r="J52" s="110">
        <f>Historical_FS!J3</f>
        <v>45016</v>
      </c>
      <c r="K52" s="110">
        <f>Historical_FS!K3</f>
        <v>45382</v>
      </c>
      <c r="L52" s="110">
        <f>Historical_FS!L3</f>
        <v>45747</v>
      </c>
    </row>
    <row r="53" spans="1:12" x14ac:dyDescent="0.3">
      <c r="B53" t="s">
        <v>75</v>
      </c>
      <c r="F53" s="114">
        <f>Historical_FS!F36</f>
        <v>734.53999999999962</v>
      </c>
      <c r="G53" s="114">
        <f>Historical_FS!G36</f>
        <v>1127.71</v>
      </c>
      <c r="H53" s="114">
        <f>Historical_FS!H36</f>
        <v>1312.2800000000022</v>
      </c>
      <c r="I53" s="114">
        <f>Historical_FS!I36</f>
        <v>1410.7800000000025</v>
      </c>
      <c r="J53" s="114">
        <f>Historical_FS!J36</f>
        <v>1478.4499999999978</v>
      </c>
      <c r="K53" s="114">
        <f>Historical_FS!K36</f>
        <v>2022.7800000000007</v>
      </c>
      <c r="L53" s="114">
        <f>Historical_FS!L36</f>
        <v>1984.9999999999998</v>
      </c>
    </row>
    <row r="54" spans="1:12" x14ac:dyDescent="0.3">
      <c r="B54" t="s">
        <v>607</v>
      </c>
      <c r="F54" s="114">
        <f>(('Data Sheet'!E57+'Data Sheet'!E58)+('Data Sheet'!D57+'Data Sheet'!D58))/2</f>
        <v>7181.6449999999995</v>
      </c>
      <c r="G54" s="114">
        <f>(('Data Sheet'!F57+'Data Sheet'!F58)+('Data Sheet'!E57+'Data Sheet'!E58))/2</f>
        <v>10573.275</v>
      </c>
      <c r="H54" s="114">
        <f>(('Data Sheet'!G57+'Data Sheet'!G58)+('Data Sheet'!F57+'Data Sheet'!F58))/2</f>
        <v>14174.685000000001</v>
      </c>
      <c r="I54" s="114">
        <f>(('Data Sheet'!H57+'Data Sheet'!H58)+('Data Sheet'!G57+'Data Sheet'!G58))/2</f>
        <v>14838.225</v>
      </c>
      <c r="J54" s="114">
        <f>(('Data Sheet'!I57+'Data Sheet'!I58)+('Data Sheet'!H57+'Data Sheet'!H58))/2</f>
        <v>15709.325000000001</v>
      </c>
      <c r="K54" s="114">
        <f>(('Data Sheet'!J57+'Data Sheet'!J58)+('Data Sheet'!I57+'Data Sheet'!I58))/2</f>
        <v>16166.75</v>
      </c>
      <c r="L54" s="114">
        <f>(('Data Sheet'!K57+'Data Sheet'!K58)+('Data Sheet'!J57+'Data Sheet'!J58))/2</f>
        <v>18028.935000000001</v>
      </c>
    </row>
    <row r="55" spans="1:12" x14ac:dyDescent="0.3">
      <c r="B55" s="78" t="s">
        <v>605</v>
      </c>
      <c r="C55" s="78"/>
      <c r="D55" s="78"/>
      <c r="E55" s="78"/>
      <c r="F55" s="185">
        <f>F53/F54</f>
        <v>0.1022801878956701</v>
      </c>
      <c r="G55" s="185">
        <f t="shared" ref="G55:L55" si="0">G53/G54</f>
        <v>0.10665664139067603</v>
      </c>
      <c r="H55" s="185">
        <f t="shared" si="0"/>
        <v>9.2579129624397447E-2</v>
      </c>
      <c r="I55" s="185">
        <f t="shared" si="0"/>
        <v>9.5077409865398491E-2</v>
      </c>
      <c r="J55" s="185">
        <f t="shared" si="0"/>
        <v>9.4112891546899544E-2</v>
      </c>
      <c r="K55" s="185">
        <f t="shared" si="0"/>
        <v>0.12511976742387929</v>
      </c>
      <c r="L55" s="185">
        <f t="shared" si="0"/>
        <v>0.11010079075663647</v>
      </c>
    </row>
    <row r="57" spans="1:12" x14ac:dyDescent="0.3">
      <c r="A57" t="s">
        <v>59</v>
      </c>
      <c r="B57" s="14" t="s">
        <v>608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x14ac:dyDescent="0.3">
      <c r="F58" s="110">
        <f>F52</f>
        <v>43555</v>
      </c>
      <c r="G58" s="110">
        <f t="shared" ref="G58:L58" si="1">G52</f>
        <v>43921</v>
      </c>
      <c r="H58" s="110">
        <f t="shared" si="1"/>
        <v>44286</v>
      </c>
      <c r="I58" s="110">
        <f t="shared" si="1"/>
        <v>44651</v>
      </c>
      <c r="J58" s="110">
        <f t="shared" si="1"/>
        <v>45016</v>
      </c>
      <c r="K58" s="110">
        <f t="shared" si="1"/>
        <v>45382</v>
      </c>
      <c r="L58" s="110">
        <f t="shared" si="1"/>
        <v>45747</v>
      </c>
    </row>
    <row r="59" spans="1:12" x14ac:dyDescent="0.3">
      <c r="B59" t="str">
        <f>B53</f>
        <v>Net Profit</v>
      </c>
      <c r="F59" s="114">
        <f t="shared" ref="F59:L59" si="2">F53</f>
        <v>734.53999999999962</v>
      </c>
      <c r="G59" s="114">
        <f t="shared" si="2"/>
        <v>1127.71</v>
      </c>
      <c r="H59" s="114">
        <f t="shared" si="2"/>
        <v>1312.2800000000022</v>
      </c>
      <c r="I59" s="114">
        <f t="shared" si="2"/>
        <v>1410.7800000000025</v>
      </c>
      <c r="J59" s="114">
        <f t="shared" si="2"/>
        <v>1478.4499999999978</v>
      </c>
      <c r="K59" s="114">
        <f t="shared" si="2"/>
        <v>2022.7800000000007</v>
      </c>
      <c r="L59" s="114">
        <f t="shared" si="2"/>
        <v>1984.9999999999998</v>
      </c>
    </row>
    <row r="60" spans="1:12" x14ac:dyDescent="0.3">
      <c r="B60" t="s">
        <v>528</v>
      </c>
      <c r="F60" s="114">
        <f>Historical_FS!F6</f>
        <v>7251.5</v>
      </c>
      <c r="G60" s="114">
        <f>Historical_FS!G6</f>
        <v>9637.42</v>
      </c>
      <c r="H60" s="114">
        <f>Historical_FS!H6</f>
        <v>11602.03</v>
      </c>
      <c r="I60" s="114">
        <f>Historical_FS!I6</f>
        <v>12425.37</v>
      </c>
      <c r="J60" s="114">
        <f>Historical_FS!J6</f>
        <v>13783.16</v>
      </c>
      <c r="K60" s="114">
        <f>Historical_FS!K6</f>
        <v>15205.85</v>
      </c>
      <c r="L60" s="114">
        <f>Historical_FS!L6</f>
        <v>17618.3</v>
      </c>
    </row>
    <row r="61" spans="1:12" x14ac:dyDescent="0.3">
      <c r="B61" s="78" t="s">
        <v>609</v>
      </c>
      <c r="C61" s="78"/>
      <c r="D61" s="78"/>
      <c r="E61" s="78"/>
      <c r="F61" s="185">
        <f>F59/F60</f>
        <v>0.10129490450251667</v>
      </c>
      <c r="G61" s="185">
        <f t="shared" ref="G61:L61" si="3">G59/G60</f>
        <v>0.11701368208503936</v>
      </c>
      <c r="H61" s="185">
        <f t="shared" si="3"/>
        <v>0.11310779234323667</v>
      </c>
      <c r="I61" s="185">
        <f t="shared" si="3"/>
        <v>0.11354028089304402</v>
      </c>
      <c r="J61" s="185">
        <f t="shared" si="3"/>
        <v>0.10726495230411588</v>
      </c>
      <c r="K61" s="185">
        <f t="shared" si="3"/>
        <v>0.133026433905372</v>
      </c>
      <c r="L61" s="185">
        <f t="shared" si="3"/>
        <v>0.1126669428946039</v>
      </c>
    </row>
    <row r="63" spans="1:12" x14ac:dyDescent="0.3">
      <c r="B63" t="s">
        <v>528</v>
      </c>
      <c r="F63" s="114">
        <f>F60</f>
        <v>7251.5</v>
      </c>
      <c r="G63" s="114">
        <f t="shared" ref="G63:L63" si="4">G60</f>
        <v>9637.42</v>
      </c>
      <c r="H63" s="114">
        <f t="shared" si="4"/>
        <v>11602.03</v>
      </c>
      <c r="I63" s="114">
        <f t="shared" si="4"/>
        <v>12425.37</v>
      </c>
      <c r="J63" s="114">
        <f t="shared" si="4"/>
        <v>13783.16</v>
      </c>
      <c r="K63" s="114">
        <f t="shared" si="4"/>
        <v>15205.85</v>
      </c>
      <c r="L63" s="114">
        <f t="shared" si="4"/>
        <v>17618.3</v>
      </c>
    </row>
    <row r="64" spans="1:12" x14ac:dyDescent="0.3">
      <c r="B64" t="s">
        <v>610</v>
      </c>
      <c r="F64" s="114">
        <f>('Data Sheet'!E66+'Data Sheet'!D66)/2</f>
        <v>10670.720000000001</v>
      </c>
      <c r="G64" s="114">
        <f>('Data Sheet'!F66+'Data Sheet'!E66)/2</f>
        <v>14676.86</v>
      </c>
      <c r="H64" s="114">
        <f>('Data Sheet'!G66+'Data Sheet'!F66)/2</f>
        <v>19345.43</v>
      </c>
      <c r="I64" s="114">
        <f>('Data Sheet'!H66+'Data Sheet'!G66)/2</f>
        <v>20646.345000000001</v>
      </c>
      <c r="J64" s="114">
        <f>('Data Sheet'!I66+'Data Sheet'!H66)/2</f>
        <v>21918.68</v>
      </c>
      <c r="K64" s="114">
        <f>('Data Sheet'!J66+'Data Sheet'!I66)/2</f>
        <v>25320.639999999999</v>
      </c>
      <c r="L64" s="114">
        <f>('Data Sheet'!K66+'Data Sheet'!J66)/2</f>
        <v>29854.705000000002</v>
      </c>
    </row>
    <row r="65" spans="1:12" x14ac:dyDescent="0.3">
      <c r="B65" s="78" t="s">
        <v>611</v>
      </c>
      <c r="C65" s="78"/>
      <c r="D65" s="78"/>
      <c r="E65" s="78"/>
      <c r="F65" s="186">
        <f>F63/F64</f>
        <v>0.67956988844239186</v>
      </c>
      <c r="G65" s="186">
        <f t="shared" ref="G65:L65" si="5">G63/G64</f>
        <v>0.65664045306693664</v>
      </c>
      <c r="H65" s="186">
        <f t="shared" si="5"/>
        <v>0.59972975529621209</v>
      </c>
      <c r="I65" s="186">
        <f t="shared" si="5"/>
        <v>0.60181935349816151</v>
      </c>
      <c r="J65" s="186">
        <f t="shared" si="5"/>
        <v>0.62883166322059536</v>
      </c>
      <c r="K65" s="186">
        <f t="shared" si="5"/>
        <v>0.600531819100939</v>
      </c>
      <c r="L65" s="186">
        <f t="shared" si="5"/>
        <v>0.5901347877997789</v>
      </c>
    </row>
    <row r="67" spans="1:12" x14ac:dyDescent="0.3">
      <c r="B67" t="str">
        <f>B64</f>
        <v>Average Total Assets</v>
      </c>
      <c r="F67" s="114">
        <f t="shared" ref="F67:L67" si="6">F64</f>
        <v>10670.720000000001</v>
      </c>
      <c r="G67" s="114">
        <f t="shared" si="6"/>
        <v>14676.86</v>
      </c>
      <c r="H67" s="114">
        <f t="shared" si="6"/>
        <v>19345.43</v>
      </c>
      <c r="I67" s="114">
        <f t="shared" si="6"/>
        <v>20646.345000000001</v>
      </c>
      <c r="J67" s="114">
        <f t="shared" si="6"/>
        <v>21918.68</v>
      </c>
      <c r="K67" s="114">
        <f t="shared" si="6"/>
        <v>25320.639999999999</v>
      </c>
      <c r="L67" s="114">
        <f t="shared" si="6"/>
        <v>29854.705000000002</v>
      </c>
    </row>
    <row r="68" spans="1:12" x14ac:dyDescent="0.3">
      <c r="B68" t="str">
        <f>B54</f>
        <v>Average Shareholder Equity</v>
      </c>
      <c r="F68" s="114">
        <f t="shared" ref="F68:L68" si="7">F54</f>
        <v>7181.6449999999995</v>
      </c>
      <c r="G68" s="114">
        <f t="shared" si="7"/>
        <v>10573.275</v>
      </c>
      <c r="H68" s="114">
        <f t="shared" si="7"/>
        <v>14174.685000000001</v>
      </c>
      <c r="I68" s="114">
        <f t="shared" si="7"/>
        <v>14838.225</v>
      </c>
      <c r="J68" s="114">
        <f t="shared" si="7"/>
        <v>15709.325000000001</v>
      </c>
      <c r="K68" s="114">
        <f t="shared" si="7"/>
        <v>16166.75</v>
      </c>
      <c r="L68" s="114">
        <f t="shared" si="7"/>
        <v>18028.935000000001</v>
      </c>
    </row>
    <row r="69" spans="1:12" x14ac:dyDescent="0.3">
      <c r="B69" s="78" t="s">
        <v>612</v>
      </c>
      <c r="C69" s="78"/>
      <c r="D69" s="78"/>
      <c r="E69" s="78"/>
      <c r="F69" s="186">
        <f>F67/F68</f>
        <v>1.4858322849430738</v>
      </c>
      <c r="G69" s="186">
        <f t="shared" ref="G69:L69" si="8">G67/G68</f>
        <v>1.3881091714724152</v>
      </c>
      <c r="H69" s="186">
        <f t="shared" si="8"/>
        <v>1.3647872950968574</v>
      </c>
      <c r="I69" s="186">
        <f t="shared" si="8"/>
        <v>1.3914295678896904</v>
      </c>
      <c r="J69" s="186">
        <f t="shared" si="8"/>
        <v>1.3952655508750376</v>
      </c>
      <c r="K69" s="186">
        <f t="shared" si="8"/>
        <v>1.5662170813552507</v>
      </c>
      <c r="L69" s="186">
        <f t="shared" si="8"/>
        <v>1.6559328102297779</v>
      </c>
    </row>
    <row r="71" spans="1:12" x14ac:dyDescent="0.3">
      <c r="B71" s="78" t="s">
        <v>613</v>
      </c>
      <c r="C71" s="74"/>
      <c r="D71" s="74"/>
      <c r="E71" s="74"/>
      <c r="F71" s="185">
        <f>F61*F65*F69</f>
        <v>0.1022801878956701</v>
      </c>
      <c r="G71" s="185">
        <f t="shared" ref="G71:L71" si="9">G61*G65*G69</f>
        <v>0.10665664139067603</v>
      </c>
      <c r="H71" s="185">
        <f t="shared" si="9"/>
        <v>9.2579129624397447E-2</v>
      </c>
      <c r="I71" s="185">
        <f t="shared" si="9"/>
        <v>9.5077409865398491E-2</v>
      </c>
      <c r="J71" s="185">
        <f t="shared" si="9"/>
        <v>9.4112891546899544E-2</v>
      </c>
      <c r="K71" s="185">
        <f t="shared" si="9"/>
        <v>0.12511976742387931</v>
      </c>
      <c r="L71" s="185">
        <f t="shared" si="9"/>
        <v>0.11010079075663647</v>
      </c>
    </row>
    <row r="73" spans="1:12" x14ac:dyDescent="0.3">
      <c r="A73" t="s">
        <v>59</v>
      </c>
      <c r="B73" s="14" t="s">
        <v>615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1:12" x14ac:dyDescent="0.3">
      <c r="F74" s="110">
        <f>F58</f>
        <v>43555</v>
      </c>
      <c r="G74" s="110">
        <f t="shared" ref="G74:L74" si="10">G58</f>
        <v>43921</v>
      </c>
      <c r="H74" s="110">
        <f t="shared" si="10"/>
        <v>44286</v>
      </c>
      <c r="I74" s="110">
        <f t="shared" si="10"/>
        <v>44651</v>
      </c>
      <c r="J74" s="110">
        <f t="shared" si="10"/>
        <v>45016</v>
      </c>
      <c r="K74" s="110">
        <f t="shared" si="10"/>
        <v>45382</v>
      </c>
      <c r="L74" s="110">
        <f t="shared" si="10"/>
        <v>45747</v>
      </c>
    </row>
    <row r="75" spans="1:12" x14ac:dyDescent="0.3">
      <c r="B75" t="s">
        <v>75</v>
      </c>
      <c r="F75" s="114">
        <f>F53</f>
        <v>734.53999999999962</v>
      </c>
      <c r="G75" s="114">
        <f t="shared" ref="G75:L75" si="11">G53</f>
        <v>1127.71</v>
      </c>
      <c r="H75" s="114">
        <f t="shared" si="11"/>
        <v>1312.2800000000022</v>
      </c>
      <c r="I75" s="114">
        <f t="shared" si="11"/>
        <v>1410.7800000000025</v>
      </c>
      <c r="J75" s="114">
        <f t="shared" si="11"/>
        <v>1478.4499999999978</v>
      </c>
      <c r="K75" s="114">
        <f t="shared" si="11"/>
        <v>2022.7800000000007</v>
      </c>
      <c r="L75" s="114">
        <f t="shared" si="11"/>
        <v>1984.9999999999998</v>
      </c>
    </row>
    <row r="76" spans="1:12" x14ac:dyDescent="0.3">
      <c r="B76" t="s">
        <v>616</v>
      </c>
      <c r="F76" s="114">
        <f>F64</f>
        <v>10670.720000000001</v>
      </c>
      <c r="G76" s="114">
        <f t="shared" ref="G76:L76" si="12">G64</f>
        <v>14676.86</v>
      </c>
      <c r="H76" s="114">
        <f t="shared" si="12"/>
        <v>19345.43</v>
      </c>
      <c r="I76" s="114">
        <f t="shared" si="12"/>
        <v>20646.345000000001</v>
      </c>
      <c r="J76" s="114">
        <f t="shared" si="12"/>
        <v>21918.68</v>
      </c>
      <c r="K76" s="114">
        <f t="shared" si="12"/>
        <v>25320.639999999999</v>
      </c>
      <c r="L76" s="114">
        <f t="shared" si="12"/>
        <v>29854.705000000002</v>
      </c>
    </row>
    <row r="77" spans="1:12" x14ac:dyDescent="0.3">
      <c r="B77" s="78" t="s">
        <v>614</v>
      </c>
      <c r="C77" s="74"/>
      <c r="D77" s="74"/>
      <c r="E77" s="74"/>
      <c r="F77" s="185">
        <f>F75/F76</f>
        <v>6.883696695255799E-2</v>
      </c>
      <c r="G77" s="185">
        <f t="shared" ref="G77:L77" si="13">G75/G76</f>
        <v>7.6835917219350736E-2</v>
      </c>
      <c r="H77" s="185">
        <f t="shared" si="13"/>
        <v>6.7834108624104106E-2</v>
      </c>
      <c r="I77" s="185">
        <f t="shared" si="13"/>
        <v>6.8330738443051417E-2</v>
      </c>
      <c r="J77" s="185">
        <f t="shared" si="13"/>
        <v>6.7451598362675017E-2</v>
      </c>
      <c r="K77" s="185">
        <f t="shared" si="13"/>
        <v>7.9886606341703872E-2</v>
      </c>
      <c r="L77" s="185">
        <f t="shared" si="13"/>
        <v>6.6488682437156874E-2</v>
      </c>
    </row>
    <row r="79" spans="1:12" x14ac:dyDescent="0.3">
      <c r="A79" t="s">
        <v>59</v>
      </c>
      <c r="B79" s="14" t="s">
        <v>617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spans="1:12" x14ac:dyDescent="0.3">
      <c r="F80" s="110">
        <f>F74</f>
        <v>43555</v>
      </c>
      <c r="G80" s="110">
        <f t="shared" ref="G80:L80" si="14">G74</f>
        <v>43921</v>
      </c>
      <c r="H80" s="110">
        <f t="shared" si="14"/>
        <v>44286</v>
      </c>
      <c r="I80" s="110">
        <f t="shared" si="14"/>
        <v>44651</v>
      </c>
      <c r="J80" s="110">
        <f t="shared" si="14"/>
        <v>45016</v>
      </c>
      <c r="K80" s="110">
        <f t="shared" si="14"/>
        <v>45382</v>
      </c>
      <c r="L80" s="110">
        <f t="shared" si="14"/>
        <v>45747</v>
      </c>
    </row>
    <row r="81" spans="2:12" x14ac:dyDescent="0.3">
      <c r="B81" t="str">
        <f>B59</f>
        <v>Net Profit</v>
      </c>
      <c r="F81" s="114">
        <f t="shared" ref="F81:L81" si="15">F59</f>
        <v>734.53999999999962</v>
      </c>
      <c r="G81" s="114">
        <f t="shared" si="15"/>
        <v>1127.71</v>
      </c>
      <c r="H81" s="114">
        <f t="shared" si="15"/>
        <v>1312.2800000000022</v>
      </c>
      <c r="I81" s="114">
        <f t="shared" si="15"/>
        <v>1410.7800000000025</v>
      </c>
      <c r="J81" s="114">
        <f t="shared" si="15"/>
        <v>1478.4499999999978</v>
      </c>
      <c r="K81" s="114">
        <f t="shared" si="15"/>
        <v>2022.7800000000007</v>
      </c>
      <c r="L81" s="114">
        <f t="shared" si="15"/>
        <v>1984.9999999999998</v>
      </c>
    </row>
    <row r="82" spans="2:12" x14ac:dyDescent="0.3">
      <c r="B82" t="str">
        <f t="shared" ref="B82:L83" si="16">B60</f>
        <v>Revenue</v>
      </c>
      <c r="F82" s="114">
        <f t="shared" si="16"/>
        <v>7251.5</v>
      </c>
      <c r="G82" s="114">
        <f t="shared" si="16"/>
        <v>9637.42</v>
      </c>
      <c r="H82" s="114">
        <f t="shared" si="16"/>
        <v>11602.03</v>
      </c>
      <c r="I82" s="114">
        <f t="shared" si="16"/>
        <v>12425.37</v>
      </c>
      <c r="J82" s="114">
        <f t="shared" si="16"/>
        <v>13783.16</v>
      </c>
      <c r="K82" s="114">
        <f t="shared" si="16"/>
        <v>15205.85</v>
      </c>
      <c r="L82" s="114">
        <f t="shared" si="16"/>
        <v>17618.3</v>
      </c>
    </row>
    <row r="83" spans="2:12" x14ac:dyDescent="0.3">
      <c r="B83" s="78" t="str">
        <f t="shared" si="16"/>
        <v>Net Profit Margin (A)</v>
      </c>
      <c r="C83" s="74"/>
      <c r="D83" s="74"/>
      <c r="E83" s="74"/>
      <c r="F83" s="185">
        <f t="shared" si="16"/>
        <v>0.10129490450251667</v>
      </c>
      <c r="G83" s="185">
        <f t="shared" si="16"/>
        <v>0.11701368208503936</v>
      </c>
      <c r="H83" s="185">
        <f t="shared" si="16"/>
        <v>0.11310779234323667</v>
      </c>
      <c r="I83" s="185">
        <f t="shared" si="16"/>
        <v>0.11354028089304402</v>
      </c>
      <c r="J83" s="185">
        <f t="shared" si="16"/>
        <v>0.10726495230411588</v>
      </c>
      <c r="K83" s="185">
        <f t="shared" si="16"/>
        <v>0.133026433905372</v>
      </c>
      <c r="L83" s="185">
        <f t="shared" si="16"/>
        <v>0.1126669428946039</v>
      </c>
    </row>
    <row r="85" spans="2:12" x14ac:dyDescent="0.3">
      <c r="B85" t="str">
        <f>B63</f>
        <v>Revenue</v>
      </c>
      <c r="F85">
        <f t="shared" ref="F85:L85" si="17">F63</f>
        <v>7251.5</v>
      </c>
      <c r="G85">
        <f t="shared" si="17"/>
        <v>9637.42</v>
      </c>
      <c r="H85">
        <f t="shared" si="17"/>
        <v>11602.03</v>
      </c>
      <c r="I85">
        <f t="shared" si="17"/>
        <v>12425.37</v>
      </c>
      <c r="J85">
        <f t="shared" si="17"/>
        <v>13783.16</v>
      </c>
      <c r="K85">
        <f t="shared" si="17"/>
        <v>15205.85</v>
      </c>
      <c r="L85">
        <f t="shared" si="17"/>
        <v>17618.3</v>
      </c>
    </row>
    <row r="86" spans="2:12" x14ac:dyDescent="0.3">
      <c r="B86" t="str">
        <f t="shared" ref="B86:L87" si="18">B64</f>
        <v>Average Total Assets</v>
      </c>
      <c r="F86">
        <f t="shared" si="18"/>
        <v>10670.720000000001</v>
      </c>
      <c r="G86">
        <f t="shared" si="18"/>
        <v>14676.86</v>
      </c>
      <c r="H86">
        <f t="shared" si="18"/>
        <v>19345.43</v>
      </c>
      <c r="I86">
        <f t="shared" si="18"/>
        <v>20646.345000000001</v>
      </c>
      <c r="J86">
        <f t="shared" si="18"/>
        <v>21918.68</v>
      </c>
      <c r="K86">
        <f t="shared" si="18"/>
        <v>25320.639999999999</v>
      </c>
      <c r="L86">
        <f t="shared" si="18"/>
        <v>29854.705000000002</v>
      </c>
    </row>
    <row r="87" spans="2:12" x14ac:dyDescent="0.3">
      <c r="B87" s="78" t="str">
        <f t="shared" si="18"/>
        <v>Asset Turnover Ratio (B)</v>
      </c>
      <c r="C87" s="74"/>
      <c r="D87" s="74"/>
      <c r="E87" s="74"/>
      <c r="F87" s="185">
        <f t="shared" si="18"/>
        <v>0.67956988844239186</v>
      </c>
      <c r="G87" s="185">
        <f t="shared" si="18"/>
        <v>0.65664045306693664</v>
      </c>
      <c r="H87" s="185">
        <f t="shared" si="18"/>
        <v>0.59972975529621209</v>
      </c>
      <c r="I87" s="185">
        <f t="shared" si="18"/>
        <v>0.60181935349816151</v>
      </c>
      <c r="J87" s="185">
        <f t="shared" si="18"/>
        <v>0.62883166322059536</v>
      </c>
      <c r="K87" s="185">
        <f t="shared" si="18"/>
        <v>0.600531819100939</v>
      </c>
      <c r="L87" s="185">
        <f t="shared" si="18"/>
        <v>0.5901347877997789</v>
      </c>
    </row>
    <row r="89" spans="2:12" x14ac:dyDescent="0.3">
      <c r="B89" s="78" t="s">
        <v>618</v>
      </c>
      <c r="C89" s="74"/>
      <c r="D89" s="74"/>
      <c r="E89" s="74"/>
      <c r="F89" s="185">
        <f>F83*F87</f>
        <v>6.883696695255799E-2</v>
      </c>
      <c r="G89" s="185">
        <f t="shared" ref="G89:L89" si="19">G83*G87</f>
        <v>7.6835917219350736E-2</v>
      </c>
      <c r="H89" s="185">
        <f t="shared" si="19"/>
        <v>6.7834108624104106E-2</v>
      </c>
      <c r="I89" s="185">
        <f t="shared" si="19"/>
        <v>6.8330738443051417E-2</v>
      </c>
      <c r="J89" s="185">
        <f t="shared" si="19"/>
        <v>6.7451598362675017E-2</v>
      </c>
      <c r="K89" s="185">
        <f t="shared" si="19"/>
        <v>7.9886606341703872E-2</v>
      </c>
      <c r="L89" s="185">
        <f t="shared" si="19"/>
        <v>6.6488682437156874E-2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EF4A-741C-4A23-9E4D-06E7CD9281D2}">
  <dimension ref="B2:N10"/>
  <sheetViews>
    <sheetView showGridLines="0" workbookViewId="0">
      <selection activeCell="C6" sqref="C6"/>
    </sheetView>
  </sheetViews>
  <sheetFormatPr defaultRowHeight="14.4" x14ac:dyDescent="0.3"/>
  <cols>
    <col min="1" max="1" width="1.88671875" customWidth="1"/>
  </cols>
  <sheetData>
    <row r="2" spans="2:14" x14ac:dyDescent="0.3">
      <c r="B2" s="9" t="str">
        <f>"Football Field Analysis - "&amp;'Data Sheet'!$B$1</f>
        <v>Football Field Analysis - TATA CONSUMER PRODUCTS LTD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2:14" x14ac:dyDescent="0.3">
      <c r="B4" s="14" t="s">
        <v>597</v>
      </c>
      <c r="C4" s="15"/>
      <c r="D4" s="15"/>
      <c r="E4" s="15"/>
      <c r="F4" s="15"/>
    </row>
    <row r="5" spans="2:14" x14ac:dyDescent="0.3">
      <c r="C5" s="80" t="s">
        <v>603</v>
      </c>
      <c r="D5" s="80" t="s">
        <v>199</v>
      </c>
      <c r="E5" s="80" t="s">
        <v>604</v>
      </c>
      <c r="F5" s="80" t="s">
        <v>198</v>
      </c>
    </row>
    <row r="6" spans="2:14" x14ac:dyDescent="0.3">
      <c r="B6" s="2" t="s">
        <v>598</v>
      </c>
      <c r="C6" s="114">
        <v>785.67877690379976</v>
      </c>
      <c r="D6" s="114">
        <v>785.67877690379976</v>
      </c>
      <c r="E6" s="114">
        <v>1320.6691015321121</v>
      </c>
      <c r="F6" s="114">
        <v>1320.6691015321121</v>
      </c>
    </row>
    <row r="7" spans="2:14" x14ac:dyDescent="0.3">
      <c r="B7" s="2" t="s">
        <v>599</v>
      </c>
      <c r="C7" s="114">
        <v>159.60755648296683</v>
      </c>
      <c r="D7" s="114">
        <v>159.60755648296683</v>
      </c>
      <c r="E7" s="114">
        <v>204.05045515209338</v>
      </c>
      <c r="F7" s="114">
        <v>204.05045515209338</v>
      </c>
    </row>
    <row r="8" spans="2:14" x14ac:dyDescent="0.3">
      <c r="B8" s="2" t="s">
        <v>600</v>
      </c>
      <c r="C8" s="114">
        <v>203.58073941993885</v>
      </c>
      <c r="D8" s="114">
        <v>203.58073941993885</v>
      </c>
      <c r="E8" s="114">
        <v>314.10273010005091</v>
      </c>
      <c r="F8" s="114">
        <v>314.10273010005091</v>
      </c>
    </row>
    <row r="9" spans="2:14" x14ac:dyDescent="0.3">
      <c r="B9" s="2" t="s">
        <v>601</v>
      </c>
      <c r="C9" s="114">
        <v>355.55735692375697</v>
      </c>
      <c r="D9" s="114">
        <v>355.55735692375697</v>
      </c>
      <c r="E9" s="114">
        <v>1866.0305281558003</v>
      </c>
      <c r="F9" s="114">
        <v>1866.0305281558003</v>
      </c>
    </row>
    <row r="10" spans="2:14" x14ac:dyDescent="0.3">
      <c r="B10" s="2" t="s">
        <v>602</v>
      </c>
      <c r="C10" s="114">
        <v>882.9</v>
      </c>
      <c r="D10" s="114">
        <v>882.9</v>
      </c>
      <c r="E10">
        <f>1247.1</f>
        <v>1247.0999999999999</v>
      </c>
      <c r="F10">
        <f>1247.1</f>
        <v>1247.0999999999999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0162-C811-4427-BCE9-A2006A3ADE14}">
  <dimension ref="A2:L38"/>
  <sheetViews>
    <sheetView showGridLines="0" zoomScale="102" zoomScaleNormal="69" workbookViewId="0"/>
  </sheetViews>
  <sheetFormatPr defaultRowHeight="14.4" x14ac:dyDescent="0.3"/>
  <cols>
    <col min="1" max="1" width="1.88671875" customWidth="1"/>
    <col min="2" max="2" width="17.21875" bestFit="1" customWidth="1"/>
    <col min="6" max="8" width="9.6640625" bestFit="1" customWidth="1"/>
    <col min="9" max="9" width="8.77734375" bestFit="1" customWidth="1"/>
    <col min="10" max="10" width="9.6640625" bestFit="1" customWidth="1"/>
    <col min="11" max="11" width="10.44140625" bestFit="1" customWidth="1"/>
    <col min="12" max="12" width="9.6640625" bestFit="1" customWidth="1"/>
  </cols>
  <sheetData>
    <row r="2" spans="1:12" x14ac:dyDescent="0.3">
      <c r="B2" s="9" t="str">
        <f>"Altman's Z Score Analysis - "&amp;'Data Sheet'!$B$1</f>
        <v>Altman's Z Score Analysis - TATA CONSUMER PRODUCTS LTD</v>
      </c>
      <c r="C2" s="9"/>
      <c r="D2" s="9"/>
      <c r="E2" s="9"/>
      <c r="F2" s="9"/>
      <c r="G2" s="9"/>
      <c r="H2" s="9"/>
      <c r="I2" s="9"/>
      <c r="J2" s="9"/>
      <c r="K2" s="9"/>
      <c r="L2" s="9"/>
    </row>
    <row r="4" spans="1:12" x14ac:dyDescent="0.3">
      <c r="A4" t="s">
        <v>59</v>
      </c>
      <c r="B4" s="191" t="s">
        <v>619</v>
      </c>
      <c r="C4" s="191"/>
      <c r="D4" s="191"/>
      <c r="E4" s="191"/>
      <c r="F4" s="191"/>
      <c r="G4" s="191"/>
      <c r="H4" s="191"/>
      <c r="I4" s="191"/>
      <c r="J4" s="191"/>
      <c r="K4" s="191"/>
      <c r="L4" s="191"/>
    </row>
    <row r="5" spans="1:12" x14ac:dyDescent="0.3">
      <c r="E5" s="110"/>
      <c r="F5" s="110">
        <f>'Data Sheet'!E56</f>
        <v>43555</v>
      </c>
      <c r="G5" s="110">
        <f>'Data Sheet'!F56</f>
        <v>43921</v>
      </c>
      <c r="H5" s="110">
        <f>'Data Sheet'!G56</f>
        <v>44286</v>
      </c>
      <c r="I5" s="110">
        <f>'Data Sheet'!H56</f>
        <v>44651</v>
      </c>
      <c r="J5" s="110">
        <f>'Data Sheet'!I56</f>
        <v>45016</v>
      </c>
      <c r="K5" s="110">
        <f>'Data Sheet'!J56</f>
        <v>45382</v>
      </c>
      <c r="L5" s="110">
        <f>'Data Sheet'!K56</f>
        <v>45747</v>
      </c>
    </row>
    <row r="6" spans="1:12" x14ac:dyDescent="0.3">
      <c r="B6" t="s">
        <v>620</v>
      </c>
      <c r="F6" s="114">
        <f>SUM('Data Sheet'!E67:E69)-'Breakup of Other Liabilities'!H5</f>
        <v>2657.7</v>
      </c>
      <c r="G6" s="114">
        <f>SUM('Data Sheet'!F67:F69)-'Breakup of Other Liabilities'!I5</f>
        <v>3311.8999999999996</v>
      </c>
      <c r="H6" s="114">
        <f>SUM('Data Sheet'!G67:G69)-'Breakup of Other Liabilities'!J5</f>
        <v>4460.3600000000006</v>
      </c>
      <c r="I6" s="114">
        <f>SUM('Data Sheet'!H67:H69)-'Breakup of Other Liabilities'!K5</f>
        <v>3785.55</v>
      </c>
      <c r="J6" s="114">
        <f>SUM('Data Sheet'!I67:I69)-'Breakup of Other Liabilities'!L5</f>
        <v>3948.9400000000005</v>
      </c>
      <c r="K6" s="114">
        <f>SUM('Data Sheet'!J67:J69)-'Breakup of Other Liabilities'!M5</f>
        <v>3413.59</v>
      </c>
      <c r="L6" s="114">
        <f>SUM('Data Sheet'!K67:K69)-'Breakup of Other Liabilities'!N5</f>
        <v>3779.5599999999995</v>
      </c>
    </row>
    <row r="7" spans="1:12" x14ac:dyDescent="0.3">
      <c r="B7" t="s">
        <v>87</v>
      </c>
      <c r="F7" s="114">
        <f>'Data Sheet'!E66</f>
        <v>10880.68</v>
      </c>
      <c r="G7" s="114">
        <f>'Data Sheet'!F66</f>
        <v>18473.04</v>
      </c>
      <c r="H7" s="114">
        <f>'Data Sheet'!G66</f>
        <v>20217.82</v>
      </c>
      <c r="I7" s="114">
        <f>'Data Sheet'!H66</f>
        <v>21074.87</v>
      </c>
      <c r="J7" s="114">
        <f>'Data Sheet'!I66</f>
        <v>22762.49</v>
      </c>
      <c r="K7" s="114">
        <f>'Data Sheet'!J66</f>
        <v>27878.79</v>
      </c>
      <c r="L7" s="114">
        <f>'Data Sheet'!K66</f>
        <v>31830.62</v>
      </c>
    </row>
    <row r="8" spans="1:12" x14ac:dyDescent="0.3">
      <c r="B8" s="78" t="s">
        <v>621</v>
      </c>
      <c r="C8" s="78"/>
      <c r="D8" s="78"/>
      <c r="E8" s="78"/>
      <c r="F8" s="185">
        <f>F6/F7</f>
        <v>0.24425863089439262</v>
      </c>
      <c r="G8" s="185">
        <f t="shared" ref="G8:L8" si="0">G6/G7</f>
        <v>0.17928289009280549</v>
      </c>
      <c r="H8" s="185">
        <f t="shared" si="0"/>
        <v>0.2206152789964497</v>
      </c>
      <c r="I8" s="185">
        <f t="shared" si="0"/>
        <v>0.17962388380094399</v>
      </c>
      <c r="J8" s="185">
        <f t="shared" si="0"/>
        <v>0.17348453530347516</v>
      </c>
      <c r="K8" s="185">
        <f t="shared" si="0"/>
        <v>0.12244397981404502</v>
      </c>
      <c r="L8" s="185">
        <f t="shared" si="0"/>
        <v>0.11873975436230899</v>
      </c>
    </row>
    <row r="10" spans="1:12" x14ac:dyDescent="0.3">
      <c r="A10" t="s">
        <v>59</v>
      </c>
      <c r="B10" s="191" t="s">
        <v>622</v>
      </c>
      <c r="C10" s="191"/>
      <c r="D10" s="191"/>
      <c r="E10" s="191"/>
      <c r="F10" s="191"/>
      <c r="G10" s="191"/>
      <c r="H10" s="191"/>
      <c r="I10" s="191"/>
      <c r="J10" s="191"/>
      <c r="K10" s="191"/>
      <c r="L10" s="191"/>
    </row>
    <row r="11" spans="1:12" x14ac:dyDescent="0.3">
      <c r="F11" s="110">
        <f>F5</f>
        <v>43555</v>
      </c>
      <c r="G11" s="110">
        <f t="shared" ref="G11:L11" si="1">G5</f>
        <v>43921</v>
      </c>
      <c r="H11" s="110">
        <f t="shared" si="1"/>
        <v>44286</v>
      </c>
      <c r="I11" s="110">
        <f t="shared" si="1"/>
        <v>44651</v>
      </c>
      <c r="J11" s="110">
        <f t="shared" si="1"/>
        <v>45016</v>
      </c>
      <c r="K11" s="110">
        <f t="shared" si="1"/>
        <v>45382</v>
      </c>
      <c r="L11" s="110">
        <f t="shared" si="1"/>
        <v>45747</v>
      </c>
    </row>
    <row r="12" spans="1:12" x14ac:dyDescent="0.3">
      <c r="B12" t="s">
        <v>81</v>
      </c>
      <c r="F12" s="114">
        <f>Historical_FS!F41*Historical_FS!F39*Historical_FS!F47</f>
        <v>576.75999999999965</v>
      </c>
      <c r="G12" s="114">
        <f>Historical_FS!G41*Historical_FS!G39*Historical_FS!G47</f>
        <v>878.88000000000011</v>
      </c>
      <c r="H12" s="114">
        <f>Historical_FS!H41*Historical_FS!H39*Historical_FS!H47</f>
        <v>939.03000000000225</v>
      </c>
      <c r="I12" s="114">
        <f>Historical_FS!I41*Historical_FS!I39*Historical_FS!I47</f>
        <v>853.21000000000242</v>
      </c>
      <c r="J12" s="114">
        <f>Historical_FS!J41*Historical_FS!J39*Historical_FS!J47</f>
        <v>693.44999999999777</v>
      </c>
      <c r="K12" s="114">
        <f>Historical_FS!K41*Historical_FS!K39*Historical_FS!K47</f>
        <v>1284.3600000000006</v>
      </c>
      <c r="L12" s="114">
        <f>Historical_FS!L41*Historical_FS!L39*Historical_FS!L47</f>
        <v>1168.6599999999996</v>
      </c>
    </row>
    <row r="13" spans="1:12" x14ac:dyDescent="0.3">
      <c r="B13" t="s">
        <v>87</v>
      </c>
      <c r="F13" s="114">
        <f>F7</f>
        <v>10880.68</v>
      </c>
      <c r="G13" s="114">
        <f t="shared" ref="G13:L13" si="2">G7</f>
        <v>18473.04</v>
      </c>
      <c r="H13" s="114">
        <f t="shared" si="2"/>
        <v>20217.82</v>
      </c>
      <c r="I13" s="114">
        <f t="shared" si="2"/>
        <v>21074.87</v>
      </c>
      <c r="J13" s="114">
        <f t="shared" si="2"/>
        <v>22762.49</v>
      </c>
      <c r="K13" s="114">
        <f t="shared" si="2"/>
        <v>27878.79</v>
      </c>
      <c r="L13" s="114">
        <f t="shared" si="2"/>
        <v>31830.62</v>
      </c>
    </row>
    <row r="14" spans="1:12" x14ac:dyDescent="0.3">
      <c r="B14" s="78" t="s">
        <v>623</v>
      </c>
      <c r="C14" s="78"/>
      <c r="D14" s="78"/>
      <c r="E14" s="78"/>
      <c r="F14" s="185">
        <f>F12/F13</f>
        <v>5.3007716429487831E-2</v>
      </c>
      <c r="G14" s="185">
        <f t="shared" ref="G14:L14" si="3">G12/G13</f>
        <v>4.7576359927765009E-2</v>
      </c>
      <c r="H14" s="185">
        <f t="shared" si="3"/>
        <v>4.6445660313525504E-2</v>
      </c>
      <c r="I14" s="185">
        <f t="shared" si="3"/>
        <v>4.0484709988721279E-2</v>
      </c>
      <c r="J14" s="185">
        <f t="shared" si="3"/>
        <v>3.046459328482946E-2</v>
      </c>
      <c r="K14" s="185">
        <f t="shared" si="3"/>
        <v>4.6069431277325899E-2</v>
      </c>
      <c r="L14" s="185">
        <f t="shared" si="3"/>
        <v>3.6714961882614902E-2</v>
      </c>
    </row>
    <row r="16" spans="1:12" x14ac:dyDescent="0.3">
      <c r="A16" t="s">
        <v>59</v>
      </c>
      <c r="B16" s="191" t="s">
        <v>624</v>
      </c>
      <c r="C16" s="191"/>
      <c r="D16" s="191"/>
      <c r="E16" s="191"/>
      <c r="F16" s="191"/>
      <c r="G16" s="191"/>
      <c r="H16" s="191"/>
      <c r="I16" s="191"/>
      <c r="J16" s="191"/>
      <c r="K16" s="191"/>
      <c r="L16" s="191"/>
    </row>
    <row r="17" spans="1:12" x14ac:dyDescent="0.3">
      <c r="F17" s="110">
        <f>F11</f>
        <v>43555</v>
      </c>
      <c r="G17" s="110">
        <f t="shared" ref="G17:L17" si="4">G11</f>
        <v>43921</v>
      </c>
      <c r="H17" s="110">
        <f t="shared" si="4"/>
        <v>44286</v>
      </c>
      <c r="I17" s="110">
        <f t="shared" si="4"/>
        <v>44651</v>
      </c>
      <c r="J17" s="110">
        <f t="shared" si="4"/>
        <v>45016</v>
      </c>
      <c r="K17" s="110">
        <f t="shared" si="4"/>
        <v>45382</v>
      </c>
      <c r="L17" s="110">
        <f t="shared" si="4"/>
        <v>45747</v>
      </c>
    </row>
    <row r="18" spans="1:12" x14ac:dyDescent="0.3">
      <c r="B18" t="s">
        <v>71</v>
      </c>
      <c r="F18" s="114">
        <f>Historical_FS!F24</f>
        <v>1047.8899999999996</v>
      </c>
      <c r="G18" s="114">
        <f>Historical_FS!G24</f>
        <v>1479.76</v>
      </c>
      <c r="H18" s="114">
        <f>Historical_FS!H24</f>
        <v>1698.2400000000023</v>
      </c>
      <c r="I18" s="114">
        <f>Historical_FS!I24</f>
        <v>1860.6000000000024</v>
      </c>
      <c r="J18" s="114">
        <f>Historical_FS!J24</f>
        <v>2012.6499999999978</v>
      </c>
      <c r="K18" s="114">
        <f>Historical_FS!K24</f>
        <v>2547.3200000000006</v>
      </c>
      <c r="L18" s="114">
        <f>Historical_FS!L24</f>
        <v>2671.4399999999996</v>
      </c>
    </row>
    <row r="19" spans="1:12" x14ac:dyDescent="0.3">
      <c r="B19" t="s">
        <v>87</v>
      </c>
      <c r="F19" s="114">
        <f>F13</f>
        <v>10880.68</v>
      </c>
      <c r="G19" s="114">
        <f t="shared" ref="G19:L19" si="5">G13</f>
        <v>18473.04</v>
      </c>
      <c r="H19" s="114">
        <f t="shared" si="5"/>
        <v>20217.82</v>
      </c>
      <c r="I19" s="114">
        <f t="shared" si="5"/>
        <v>21074.87</v>
      </c>
      <c r="J19" s="114">
        <f t="shared" si="5"/>
        <v>22762.49</v>
      </c>
      <c r="K19" s="114">
        <f t="shared" si="5"/>
        <v>27878.79</v>
      </c>
      <c r="L19" s="114">
        <f t="shared" si="5"/>
        <v>31830.62</v>
      </c>
    </row>
    <row r="20" spans="1:12" x14ac:dyDescent="0.3">
      <c r="B20" s="78" t="s">
        <v>625</v>
      </c>
      <c r="C20" s="78"/>
      <c r="D20" s="78"/>
      <c r="E20" s="78"/>
      <c r="F20" s="185">
        <f>F18/F19</f>
        <v>9.6307399905152954E-2</v>
      </c>
      <c r="G20" s="185">
        <f t="shared" ref="G20" si="6">G18/G19</f>
        <v>8.0103762022926378E-2</v>
      </c>
      <c r="H20" s="185">
        <f t="shared" ref="H20" si="7">H18/H19</f>
        <v>8.3997186640300606E-2</v>
      </c>
      <c r="I20" s="185">
        <f t="shared" ref="I20" si="8">I18/I19</f>
        <v>8.8285242091647662E-2</v>
      </c>
      <c r="J20" s="185">
        <f t="shared" ref="J20" si="9">J18/J19</f>
        <v>8.8419588542378164E-2</v>
      </c>
      <c r="K20" s="185">
        <f t="shared" ref="K20" si="10">K18/K19</f>
        <v>9.137125391740461E-2</v>
      </c>
      <c r="L20" s="185">
        <f t="shared" ref="L20" si="11">L18/L19</f>
        <v>8.3926734697596206E-2</v>
      </c>
    </row>
    <row r="21" spans="1:12" x14ac:dyDescent="0.3">
      <c r="F21" s="114"/>
      <c r="G21" s="114"/>
      <c r="H21" s="114"/>
      <c r="I21" s="114"/>
      <c r="J21" s="114"/>
      <c r="K21" s="114"/>
      <c r="L21" s="114"/>
    </row>
    <row r="22" spans="1:12" x14ac:dyDescent="0.3">
      <c r="A22" t="s">
        <v>59</v>
      </c>
      <c r="B22" s="191" t="s">
        <v>626</v>
      </c>
      <c r="C22" s="191"/>
      <c r="D22" s="191"/>
      <c r="E22" s="191"/>
      <c r="F22" s="191"/>
      <c r="G22" s="191"/>
      <c r="H22" s="191"/>
      <c r="I22" s="191"/>
      <c r="J22" s="191"/>
      <c r="K22" s="191"/>
      <c r="L22" s="191"/>
    </row>
    <row r="23" spans="1:12" x14ac:dyDescent="0.3">
      <c r="F23" s="110">
        <f>F17</f>
        <v>43555</v>
      </c>
      <c r="G23" s="110">
        <f t="shared" ref="G23:L23" si="12">G17</f>
        <v>43921</v>
      </c>
      <c r="H23" s="110">
        <f t="shared" si="12"/>
        <v>44286</v>
      </c>
      <c r="I23" s="110">
        <f t="shared" si="12"/>
        <v>44651</v>
      </c>
      <c r="J23" s="110">
        <f t="shared" si="12"/>
        <v>45016</v>
      </c>
      <c r="K23" s="110">
        <f t="shared" si="12"/>
        <v>45382</v>
      </c>
      <c r="L23" s="110">
        <f t="shared" si="12"/>
        <v>45747</v>
      </c>
    </row>
    <row r="24" spans="1:12" x14ac:dyDescent="0.3">
      <c r="B24" t="s">
        <v>627</v>
      </c>
      <c r="F24" s="114">
        <f>('Data Sheet'!E70*'Data Sheet'!E90)/10000000</f>
        <v>12714.108390704998</v>
      </c>
      <c r="G24" s="114">
        <f>('Data Sheet'!F70*'Data Sheet'!F90)/10000000</f>
        <v>26838.350595945001</v>
      </c>
      <c r="H24" s="114">
        <f>('Data Sheet'!G70*'Data Sheet'!G90)/10000000</f>
        <v>58155.442526789993</v>
      </c>
      <c r="I24" s="114">
        <f>('Data Sheet'!H70*'Data Sheet'!H90)/10000000</f>
        <v>70762.269987990003</v>
      </c>
      <c r="J24" s="114">
        <f>('Data Sheet'!I70*'Data Sheet'!I90)/10000000</f>
        <v>65044.750674750001</v>
      </c>
      <c r="K24" s="114">
        <f>('Data Sheet'!J70*'Data Sheet'!J90)/10000000</f>
        <v>103167.236867584</v>
      </c>
      <c r="L24" s="114">
        <f>('Data Sheet'!K70*'Data Sheet'!K90)/10000000</f>
        <v>99137.860526019998</v>
      </c>
    </row>
    <row r="25" spans="1:12" x14ac:dyDescent="0.3">
      <c r="B25" t="s">
        <v>480</v>
      </c>
      <c r="F25" s="114">
        <f>F19</f>
        <v>10880.68</v>
      </c>
      <c r="G25" s="114">
        <f t="shared" ref="G25:L25" si="13">G19</f>
        <v>18473.04</v>
      </c>
      <c r="H25" s="114">
        <f t="shared" si="13"/>
        <v>20217.82</v>
      </c>
      <c r="I25" s="114">
        <f t="shared" si="13"/>
        <v>21074.87</v>
      </c>
      <c r="J25" s="114">
        <f t="shared" si="13"/>
        <v>22762.49</v>
      </c>
      <c r="K25" s="114">
        <f t="shared" si="13"/>
        <v>27878.79</v>
      </c>
      <c r="L25" s="114">
        <f t="shared" si="13"/>
        <v>31830.62</v>
      </c>
    </row>
    <row r="26" spans="1:12" x14ac:dyDescent="0.3">
      <c r="B26" s="78" t="s">
        <v>628</v>
      </c>
      <c r="C26" s="78"/>
      <c r="D26" s="78"/>
      <c r="E26" s="78"/>
      <c r="F26" s="185">
        <f>F24/F25</f>
        <v>1.1685031074073493</v>
      </c>
      <c r="G26" s="185">
        <f t="shared" ref="G26" si="14">G24/G25</f>
        <v>1.4528388719964338</v>
      </c>
      <c r="H26" s="185">
        <f t="shared" ref="H26" si="15">H24/H25</f>
        <v>2.8764447663887598</v>
      </c>
      <c r="I26" s="185">
        <f t="shared" ref="I26" si="16">I24/I25</f>
        <v>3.3576610431281431</v>
      </c>
      <c r="J26" s="185">
        <f t="shared" ref="J26" si="17">J24/J25</f>
        <v>2.8575410983047109</v>
      </c>
      <c r="K26" s="185">
        <f t="shared" ref="K26" si="18">K24/K25</f>
        <v>3.7005636495552352</v>
      </c>
      <c r="L26" s="185">
        <f t="shared" ref="L26" si="19">L24/L25</f>
        <v>3.1145438111485104</v>
      </c>
    </row>
    <row r="27" spans="1:12" x14ac:dyDescent="0.3">
      <c r="F27" s="110"/>
      <c r="G27" s="110"/>
      <c r="H27" s="110"/>
      <c r="I27" s="110"/>
      <c r="J27" s="110"/>
      <c r="K27" s="110"/>
      <c r="L27" s="110"/>
    </row>
    <row r="28" spans="1:12" x14ac:dyDescent="0.3">
      <c r="A28" t="s">
        <v>59</v>
      </c>
      <c r="B28" s="191" t="s">
        <v>629</v>
      </c>
      <c r="C28" s="191"/>
      <c r="D28" s="191"/>
      <c r="E28" s="191"/>
      <c r="F28" s="191"/>
      <c r="G28" s="191"/>
      <c r="H28" s="191"/>
      <c r="I28" s="191"/>
      <c r="J28" s="191"/>
      <c r="K28" s="191"/>
      <c r="L28" s="191"/>
    </row>
    <row r="29" spans="1:12" x14ac:dyDescent="0.3">
      <c r="F29" s="110">
        <f>F23</f>
        <v>43555</v>
      </c>
      <c r="G29" s="110">
        <f t="shared" ref="G29:L29" si="20">G23</f>
        <v>43921</v>
      </c>
      <c r="H29" s="110">
        <f t="shared" si="20"/>
        <v>44286</v>
      </c>
      <c r="I29" s="110">
        <f t="shared" si="20"/>
        <v>44651</v>
      </c>
      <c r="J29" s="110">
        <f t="shared" si="20"/>
        <v>45016</v>
      </c>
      <c r="K29" s="110">
        <f t="shared" si="20"/>
        <v>45382</v>
      </c>
      <c r="L29" s="110">
        <f t="shared" si="20"/>
        <v>45747</v>
      </c>
    </row>
    <row r="30" spans="1:12" x14ac:dyDescent="0.3">
      <c r="B30" t="s">
        <v>1</v>
      </c>
      <c r="F30" s="114">
        <f>Historical_FS!F6</f>
        <v>7251.5</v>
      </c>
      <c r="G30" s="114">
        <f>Historical_FS!G6</f>
        <v>9637.42</v>
      </c>
      <c r="H30" s="114">
        <f>Historical_FS!H6</f>
        <v>11602.03</v>
      </c>
      <c r="I30" s="114">
        <f>Historical_FS!I6</f>
        <v>12425.37</v>
      </c>
      <c r="J30" s="114">
        <f>Historical_FS!J6</f>
        <v>13783.16</v>
      </c>
      <c r="K30" s="114">
        <f>Historical_FS!K6</f>
        <v>15205.85</v>
      </c>
      <c r="L30" s="114">
        <f>Historical_FS!L6</f>
        <v>17618.3</v>
      </c>
    </row>
    <row r="31" spans="1:12" x14ac:dyDescent="0.3">
      <c r="B31" t="s">
        <v>87</v>
      </c>
      <c r="F31" s="114">
        <f>F25</f>
        <v>10880.68</v>
      </c>
      <c r="G31" s="114">
        <f t="shared" ref="G31:L31" si="21">G25</f>
        <v>18473.04</v>
      </c>
      <c r="H31" s="114">
        <f t="shared" si="21"/>
        <v>20217.82</v>
      </c>
      <c r="I31" s="114">
        <f t="shared" si="21"/>
        <v>21074.87</v>
      </c>
      <c r="J31" s="114">
        <f t="shared" si="21"/>
        <v>22762.49</v>
      </c>
      <c r="K31" s="114">
        <f t="shared" si="21"/>
        <v>27878.79</v>
      </c>
      <c r="L31" s="114">
        <f t="shared" si="21"/>
        <v>31830.62</v>
      </c>
    </row>
    <row r="32" spans="1:12" x14ac:dyDescent="0.3">
      <c r="B32" s="78" t="s">
        <v>630</v>
      </c>
      <c r="C32" s="78"/>
      <c r="D32" s="78"/>
      <c r="E32" s="78"/>
      <c r="F32" s="185">
        <f>F30/F31</f>
        <v>0.66645650823294134</v>
      </c>
      <c r="G32" s="185">
        <f t="shared" ref="G32" si="22">G30/G31</f>
        <v>0.52170189638521869</v>
      </c>
      <c r="H32" s="185">
        <f t="shared" ref="H32" si="23">H30/H31</f>
        <v>0.57385168133854203</v>
      </c>
      <c r="I32" s="185">
        <f t="shared" ref="I32" si="24">I30/I31</f>
        <v>0.58958228449333261</v>
      </c>
      <c r="J32" s="185">
        <f t="shared" ref="J32" si="25">J30/J31</f>
        <v>0.60552074926776456</v>
      </c>
      <c r="K32" s="185">
        <f t="shared" ref="K32" si="26">K30/K31</f>
        <v>0.5454271867609749</v>
      </c>
      <c r="L32" s="185">
        <f t="shared" ref="L32" si="27">L30/L31</f>
        <v>0.55350162830632899</v>
      </c>
    </row>
    <row r="33" spans="2:12" x14ac:dyDescent="0.3">
      <c r="F33" s="110"/>
      <c r="G33" s="110"/>
      <c r="H33" s="110"/>
      <c r="I33" s="110"/>
      <c r="J33" s="110"/>
      <c r="K33" s="110"/>
      <c r="L33" s="110"/>
    </row>
    <row r="34" spans="2:12" x14ac:dyDescent="0.3">
      <c r="B34" s="191" t="s">
        <v>631</v>
      </c>
      <c r="C34" s="191"/>
      <c r="D34" s="191"/>
      <c r="E34" s="191"/>
      <c r="F34" s="191"/>
      <c r="G34" s="191"/>
      <c r="H34" s="191"/>
      <c r="I34" s="191"/>
      <c r="J34" s="191"/>
      <c r="K34" s="191"/>
      <c r="L34" s="191"/>
    </row>
    <row r="35" spans="2:12" x14ac:dyDescent="0.3">
      <c r="F35" s="110">
        <f>F29</f>
        <v>43555</v>
      </c>
      <c r="G35" s="110">
        <f t="shared" ref="G35:L35" si="28">G29</f>
        <v>43921</v>
      </c>
      <c r="H35" s="110">
        <f t="shared" si="28"/>
        <v>44286</v>
      </c>
      <c r="I35" s="110">
        <f t="shared" si="28"/>
        <v>44651</v>
      </c>
      <c r="J35" s="110">
        <f t="shared" si="28"/>
        <v>45016</v>
      </c>
      <c r="K35" s="110">
        <f t="shared" si="28"/>
        <v>45382</v>
      </c>
      <c r="L35" s="110">
        <f t="shared" si="28"/>
        <v>45747</v>
      </c>
    </row>
    <row r="36" spans="2:12" x14ac:dyDescent="0.3">
      <c r="B36" s="187" t="s">
        <v>631</v>
      </c>
      <c r="C36" s="187"/>
      <c r="D36" s="187"/>
      <c r="E36" s="187"/>
      <c r="F36" s="188">
        <f>(1.2*F8)+(1.4*F14)+(3.3*F20)+(0.6*F26)+(1*F32)</f>
        <v>2.0526939524389096</v>
      </c>
      <c r="G36" s="188">
        <f t="shared" ref="G36:L36" si="29">(1.2*G8)+(1.4*G14)+(3.3*G20)+(0.6*G26)+(1*G32)</f>
        <v>1.9394940062689736</v>
      </c>
      <c r="H36" s="188">
        <f t="shared" si="29"/>
        <v>2.9066715163194652</v>
      </c>
      <c r="I36" s="188">
        <f t="shared" si="29"/>
        <v>3.1677474638179981</v>
      </c>
      <c r="J36" s="188">
        <f t="shared" si="29"/>
        <v>2.8626619234033703</v>
      </c>
      <c r="K36" s="188">
        <f t="shared" si="29"/>
        <v>3.2787204939866612</v>
      </c>
      <c r="L36" s="188">
        <f t="shared" si="29"/>
        <v>2.8930747913679342</v>
      </c>
    </row>
    <row r="37" spans="2:12" ht="1.2" customHeight="1" x14ac:dyDescent="0.3">
      <c r="B37" s="2"/>
      <c r="C37" s="2"/>
      <c r="D37" s="2"/>
      <c r="E37" s="2"/>
      <c r="F37" s="115"/>
      <c r="G37" s="115"/>
      <c r="H37" s="115"/>
      <c r="I37" s="115"/>
      <c r="J37" s="115"/>
      <c r="K37" s="115"/>
      <c r="L37" s="115"/>
    </row>
    <row r="38" spans="2:12" ht="15" thickBot="1" x14ac:dyDescent="0.35">
      <c r="B38" s="189" t="s">
        <v>632</v>
      </c>
      <c r="C38" s="189"/>
      <c r="D38" s="189"/>
      <c r="E38" s="189"/>
      <c r="F38" s="190" t="str">
        <f>IF(F36&gt;3,"Strong",IF(F36&lt;1.81,"Weak","Moderate"))</f>
        <v>Moderate</v>
      </c>
      <c r="G38" s="190" t="str">
        <f t="shared" ref="G38:L38" si="30">IF(G36&gt;3,"Strong",IF(G36&lt;1.81,"Weak","Moderate"))</f>
        <v>Moderate</v>
      </c>
      <c r="H38" s="190" t="str">
        <f t="shared" si="30"/>
        <v>Moderate</v>
      </c>
      <c r="I38" s="190" t="str">
        <f t="shared" si="30"/>
        <v>Strong</v>
      </c>
      <c r="J38" s="190" t="str">
        <f t="shared" si="30"/>
        <v>Moderate</v>
      </c>
      <c r="K38" s="190" t="str">
        <f t="shared" si="30"/>
        <v>Strong</v>
      </c>
      <c r="L38" s="190" t="str">
        <f t="shared" si="30"/>
        <v>Moderate</v>
      </c>
    </row>
  </sheetData>
  <mergeCells count="6">
    <mergeCell ref="B34:L34"/>
    <mergeCell ref="B4:L4"/>
    <mergeCell ref="B10:L10"/>
    <mergeCell ref="B16:L16"/>
    <mergeCell ref="B22:L22"/>
    <mergeCell ref="B28:L28"/>
  </mergeCells>
  <conditionalFormatting sqref="F38:L38">
    <cfRule type="containsText" dxfId="6" priority="1" operator="containsText" text="Weak">
      <formula>NOT(ISERROR(SEARCH("Weak",F38)))</formula>
    </cfRule>
    <cfRule type="containsText" dxfId="5" priority="2" operator="containsText" text="Moderate">
      <formula>NOT(ISERROR(SEARCH("Moderate",F38)))</formula>
    </cfRule>
    <cfRule type="containsText" dxfId="4" priority="3" operator="containsText" text="Strong">
      <formula>NOT(ISERROR(SEARCH("Strong",F38)))</formula>
    </cfRule>
    <cfRule type="containsText" dxfId="3" priority="4" operator="containsText" text="Weak">
      <formula>NOT(ISERROR(SEARCH("Weak",F38)))</formula>
    </cfRule>
  </conditionalFormatting>
  <pageMargins left="0.7" right="0.7" top="0.75" bottom="0.75" header="0.3" footer="0.3"/>
  <ignoredErrors>
    <ignoredError sqref="F6:L6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6B7FE8D8-26AC-450C-B292-373190D41320}">
            <xm:f>NOT(ISERROR(SEARCH($I$38,F38)))</xm:f>
            <xm:f>$I$38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" operator="containsText" id="{47A90EEE-5529-4CB0-AF1C-4F4081F76DFD}">
            <xm:f>NOT(ISERROR(SEARCH($F$38,F38)))</xm:f>
            <xm:f>$F$38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F38:L38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4FA5-FC78-464E-B860-DEF7AA1E6F72}">
  <sheetPr>
    <tabColor rgb="FF002060"/>
  </sheetPr>
  <dimension ref="A1"/>
  <sheetViews>
    <sheetView workbookViewId="0">
      <selection activeCell="F30" sqref="F30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B8D3-9451-4A0D-AAF5-5C62428C456C}">
  <dimension ref="A2:L40"/>
  <sheetViews>
    <sheetView showGridLines="0" zoomScale="98" workbookViewId="0"/>
  </sheetViews>
  <sheetFormatPr defaultRowHeight="14.4" x14ac:dyDescent="0.3"/>
  <cols>
    <col min="1" max="1" width="1.88671875" customWidth="1"/>
    <col min="2" max="2" width="19.109375" bestFit="1" customWidth="1"/>
    <col min="3" max="3" width="17.21875" bestFit="1" customWidth="1"/>
  </cols>
  <sheetData>
    <row r="2" spans="1:12" x14ac:dyDescent="0.3">
      <c r="A2" t="s">
        <v>59</v>
      </c>
      <c r="B2" s="9" t="s">
        <v>551</v>
      </c>
      <c r="C2" s="9"/>
      <c r="D2" s="9"/>
      <c r="E2" s="9"/>
      <c r="F2" s="9"/>
      <c r="G2" s="9"/>
      <c r="H2" s="9"/>
      <c r="I2" s="9"/>
      <c r="J2" s="9"/>
      <c r="K2" s="9"/>
      <c r="L2" s="9"/>
    </row>
    <row r="4" spans="1:12" x14ac:dyDescent="0.3">
      <c r="B4" s="14" t="s">
        <v>58</v>
      </c>
      <c r="C4" s="14"/>
      <c r="D4" s="133">
        <f>Forecast!E2</f>
        <v>44651</v>
      </c>
      <c r="E4" s="133">
        <f>Forecast!F2</f>
        <v>45016</v>
      </c>
      <c r="F4" s="133">
        <f>Forecast!G2</f>
        <v>45382</v>
      </c>
      <c r="G4" s="133">
        <f>Forecast!H2</f>
        <v>45747</v>
      </c>
      <c r="H4" s="133">
        <f>Forecast!I2</f>
        <v>46113</v>
      </c>
      <c r="I4" s="133">
        <f>Forecast!J2</f>
        <v>46479</v>
      </c>
      <c r="J4" s="133">
        <f>Forecast!K2</f>
        <v>46845</v>
      </c>
      <c r="K4" s="133">
        <f>Forecast!L2</f>
        <v>47211</v>
      </c>
      <c r="L4" s="133">
        <f>Forecast!M2</f>
        <v>47577</v>
      </c>
    </row>
    <row r="5" spans="1:12" ht="4.2" customHeight="1" x14ac:dyDescent="0.3"/>
    <row r="6" spans="1:12" x14ac:dyDescent="0.3">
      <c r="B6" t="s">
        <v>528</v>
      </c>
      <c r="D6" s="126">
        <f>Forecast!E4</f>
        <v>12425.37</v>
      </c>
      <c r="E6" s="126">
        <f>Forecast!F4</f>
        <v>13783.16</v>
      </c>
      <c r="F6" s="126">
        <f>Forecast!G4</f>
        <v>15205.85</v>
      </c>
      <c r="G6" s="126">
        <f>Forecast!H4</f>
        <v>17618.3</v>
      </c>
      <c r="H6" s="114">
        <f>Forecast!I4</f>
        <v>19490.20081417562</v>
      </c>
      <c r="I6" s="114">
        <f>Forecast!J4</f>
        <v>21560.986461627512</v>
      </c>
      <c r="J6" s="114">
        <f>Forecast!K4</f>
        <v>23851.787964153296</v>
      </c>
      <c r="K6" s="114">
        <f>Forecast!L4</f>
        <v>26385.981462370652</v>
      </c>
      <c r="L6" s="114">
        <f>Forecast!M4</f>
        <v>29189.426754040927</v>
      </c>
    </row>
    <row r="7" spans="1:12" x14ac:dyDescent="0.3">
      <c r="D7" s="126"/>
      <c r="E7" s="126"/>
      <c r="F7" s="126"/>
      <c r="G7" s="126"/>
      <c r="H7" s="114"/>
      <c r="I7" s="114"/>
      <c r="J7" s="114"/>
      <c r="K7" s="114"/>
      <c r="L7" s="114"/>
    </row>
    <row r="8" spans="1:12" x14ac:dyDescent="0.3">
      <c r="B8" t="s">
        <v>71</v>
      </c>
      <c r="D8" s="126">
        <f>Forecast!E7</f>
        <v>1860.6000000000024</v>
      </c>
      <c r="E8" s="126">
        <f>Forecast!F7</f>
        <v>2012.6499999999978</v>
      </c>
      <c r="F8" s="126">
        <f>Forecast!G7</f>
        <v>2547.3200000000006</v>
      </c>
      <c r="G8" s="126">
        <f>Forecast!H7</f>
        <v>2671.4399999999996</v>
      </c>
      <c r="H8" s="114">
        <f>Forecast!I7</f>
        <v>2923.530122126343</v>
      </c>
      <c r="I8" s="114">
        <f>Forecast!J7</f>
        <v>3234.1479692441267</v>
      </c>
      <c r="J8" s="114">
        <f>Forecast!K7</f>
        <v>3577.7681946229945</v>
      </c>
      <c r="K8" s="114">
        <f>Forecast!L7</f>
        <v>3957.8972193555974</v>
      </c>
      <c r="L8" s="114">
        <f>Forecast!M7</f>
        <v>4378.4140131061386</v>
      </c>
    </row>
    <row r="9" spans="1:12" x14ac:dyDescent="0.3">
      <c r="D9" s="127"/>
      <c r="E9" s="127"/>
      <c r="F9" s="127"/>
      <c r="G9" s="127"/>
      <c r="H9" s="121"/>
      <c r="I9" s="121"/>
      <c r="J9" s="121"/>
      <c r="K9" s="121"/>
      <c r="L9" s="121"/>
    </row>
    <row r="10" spans="1:12" x14ac:dyDescent="0.3">
      <c r="B10" t="s">
        <v>539</v>
      </c>
      <c r="D10" s="128">
        <f>'WACC Model'!F13</f>
        <v>0.25</v>
      </c>
      <c r="E10" s="128">
        <f>D10</f>
        <v>0.25</v>
      </c>
      <c r="F10" s="128">
        <f t="shared" ref="F10:L10" si="0">E10</f>
        <v>0.25</v>
      </c>
      <c r="G10" s="128">
        <f t="shared" si="0"/>
        <v>0.25</v>
      </c>
      <c r="H10" s="73">
        <f t="shared" si="0"/>
        <v>0.25</v>
      </c>
      <c r="I10" s="73">
        <f t="shared" si="0"/>
        <v>0.25</v>
      </c>
      <c r="J10" s="73">
        <f t="shared" si="0"/>
        <v>0.25</v>
      </c>
      <c r="K10" s="73">
        <f t="shared" si="0"/>
        <v>0.25</v>
      </c>
      <c r="L10" s="73">
        <f t="shared" si="0"/>
        <v>0.25</v>
      </c>
    </row>
    <row r="11" spans="1:12" ht="9" customHeight="1" x14ac:dyDescent="0.3">
      <c r="D11" s="127"/>
      <c r="E11" s="127"/>
      <c r="F11" s="127"/>
      <c r="G11" s="127"/>
      <c r="H11" s="121"/>
      <c r="I11" s="121"/>
      <c r="J11" s="121"/>
      <c r="K11" s="121"/>
      <c r="L11" s="121"/>
    </row>
    <row r="12" spans="1:12" x14ac:dyDescent="0.3">
      <c r="B12" s="124" t="s">
        <v>515</v>
      </c>
      <c r="C12" s="124"/>
      <c r="D12" s="129">
        <f t="shared" ref="D12:L12" si="1">D8*(1-D10)</f>
        <v>1395.4500000000019</v>
      </c>
      <c r="E12" s="129">
        <f t="shared" si="1"/>
        <v>1509.4874999999984</v>
      </c>
      <c r="F12" s="129">
        <f t="shared" si="1"/>
        <v>1910.4900000000005</v>
      </c>
      <c r="G12" s="129">
        <f t="shared" si="1"/>
        <v>2003.5799999999997</v>
      </c>
      <c r="H12" s="125">
        <f t="shared" si="1"/>
        <v>2192.6475915947572</v>
      </c>
      <c r="I12" s="125">
        <f t="shared" si="1"/>
        <v>2425.6109769330951</v>
      </c>
      <c r="J12" s="125">
        <f t="shared" si="1"/>
        <v>2683.3261459672458</v>
      </c>
      <c r="K12" s="125">
        <f t="shared" si="1"/>
        <v>2968.4229145166983</v>
      </c>
      <c r="L12" s="125">
        <f t="shared" si="1"/>
        <v>3283.8105098296037</v>
      </c>
    </row>
    <row r="13" spans="1:12" x14ac:dyDescent="0.3">
      <c r="D13" s="126"/>
      <c r="E13" s="126"/>
      <c r="F13" s="126"/>
      <c r="G13" s="126"/>
      <c r="H13" s="114"/>
      <c r="I13" s="114"/>
      <c r="J13" s="114"/>
      <c r="K13" s="114"/>
      <c r="L13" s="114"/>
    </row>
    <row r="14" spans="1:12" x14ac:dyDescent="0.3">
      <c r="B14" t="s">
        <v>5</v>
      </c>
      <c r="D14" s="126">
        <f>Forecast!E10</f>
        <v>278.01</v>
      </c>
      <c r="E14" s="126">
        <f>Forecast!F10</f>
        <v>304.08</v>
      </c>
      <c r="F14" s="126">
        <f>Forecast!G10</f>
        <v>377.15</v>
      </c>
      <c r="G14" s="126">
        <f>Forecast!H10</f>
        <v>600.74</v>
      </c>
      <c r="H14" s="114">
        <f>Forecast!I10</f>
        <v>503.51249521247996</v>
      </c>
      <c r="I14" s="114">
        <f>Forecast!J10</f>
        <v>557.00945290623247</v>
      </c>
      <c r="J14" s="114">
        <f>Forecast!K10</f>
        <v>616.19033008500071</v>
      </c>
      <c r="K14" s="114">
        <f>Forecast!L10</f>
        <v>681.65902914071307</v>
      </c>
      <c r="L14" s="114">
        <f>Forecast!M10</f>
        <v>754.08361560130595</v>
      </c>
    </row>
    <row r="15" spans="1:12" x14ac:dyDescent="0.3">
      <c r="D15" s="126"/>
      <c r="E15" s="126"/>
      <c r="F15" s="126"/>
      <c r="G15" s="126"/>
      <c r="H15" s="114"/>
      <c r="I15" s="114"/>
      <c r="J15" s="114"/>
      <c r="K15" s="114"/>
      <c r="L15" s="114"/>
    </row>
    <row r="16" spans="1:12" x14ac:dyDescent="0.3">
      <c r="B16" t="s">
        <v>533</v>
      </c>
      <c r="D16" s="126">
        <f>-Forecast!E13</f>
        <v>-211</v>
      </c>
      <c r="E16" s="126">
        <f>-Forecast!F13</f>
        <v>-273</v>
      </c>
      <c r="F16" s="126">
        <f>-Forecast!G13</f>
        <v>-312</v>
      </c>
      <c r="G16" s="126">
        <f>-Forecast!H13</f>
        <v>-335</v>
      </c>
      <c r="H16" s="114">
        <f>-Forecast!I13</f>
        <v>-371.87743440547985</v>
      </c>
      <c r="I16" s="114">
        <f>-Forecast!J13</f>
        <v>-411.38849235302064</v>
      </c>
      <c r="J16" s="114">
        <f>-Forecast!K13</f>
        <v>-455.09750251734408</v>
      </c>
      <c r="K16" s="114">
        <f>-Forecast!L13</f>
        <v>-503.45048694214717</v>
      </c>
      <c r="L16" s="114">
        <f>-Forecast!M13</f>
        <v>-556.94085641049071</v>
      </c>
    </row>
    <row r="17" spans="1:12" x14ac:dyDescent="0.3">
      <c r="D17" s="126"/>
      <c r="E17" s="126"/>
      <c r="F17" s="126"/>
      <c r="G17" s="126"/>
      <c r="H17" s="114"/>
      <c r="I17" s="114"/>
      <c r="J17" s="114"/>
      <c r="K17" s="114"/>
      <c r="L17" s="114"/>
    </row>
    <row r="18" spans="1:12" x14ac:dyDescent="0.3">
      <c r="B18" t="s">
        <v>536</v>
      </c>
      <c r="D18" s="126">
        <f>-Forecast!E16</f>
        <v>-2</v>
      </c>
      <c r="E18" s="126">
        <f>-Forecast!F16</f>
        <v>25</v>
      </c>
      <c r="F18" s="126">
        <f>-Forecast!G16</f>
        <v>-11</v>
      </c>
      <c r="G18" s="126">
        <f>-Forecast!H16</f>
        <v>-5</v>
      </c>
      <c r="H18" s="114">
        <f>-Forecast!I16</f>
        <v>-4.33419994067396</v>
      </c>
      <c r="I18" s="114">
        <f>-Forecast!J16</f>
        <v>-4.7946979681651198</v>
      </c>
      <c r="J18" s="114">
        <f>-Forecast!K16</f>
        <v>-5.304122772506882</v>
      </c>
      <c r="K18" s="114">
        <f>-Forecast!L16</f>
        <v>-5.8676727027693412</v>
      </c>
      <c r="L18" s="114">
        <f>-Forecast!M16</f>
        <v>-6.4910984197584938</v>
      </c>
    </row>
    <row r="19" spans="1:12" x14ac:dyDescent="0.3">
      <c r="D19" s="74"/>
      <c r="E19" s="74"/>
      <c r="F19" s="74"/>
      <c r="G19" s="74"/>
    </row>
    <row r="20" spans="1:12" x14ac:dyDescent="0.3">
      <c r="B20" s="122" t="s">
        <v>555</v>
      </c>
      <c r="C20" s="122"/>
      <c r="D20" s="130">
        <f>SUM(D12:D19)</f>
        <v>1460.4600000000019</v>
      </c>
      <c r="E20" s="130">
        <f t="shared" ref="E20:L20" si="2">SUM(E12:E19)</f>
        <v>1565.5674999999983</v>
      </c>
      <c r="F20" s="130">
        <f t="shared" si="2"/>
        <v>1964.6400000000003</v>
      </c>
      <c r="G20" s="130">
        <f t="shared" si="2"/>
        <v>2264.3199999999997</v>
      </c>
      <c r="H20" s="123">
        <f t="shared" si="2"/>
        <v>2319.9484524610834</v>
      </c>
      <c r="I20" s="123">
        <f t="shared" si="2"/>
        <v>2566.4372395181422</v>
      </c>
      <c r="J20" s="123">
        <f t="shared" si="2"/>
        <v>2839.1148507623957</v>
      </c>
      <c r="K20" s="123">
        <f t="shared" si="2"/>
        <v>3140.7637840124949</v>
      </c>
      <c r="L20" s="123">
        <f t="shared" si="2"/>
        <v>3474.4621706006606</v>
      </c>
    </row>
    <row r="22" spans="1:12" x14ac:dyDescent="0.3">
      <c r="B22" t="s">
        <v>540</v>
      </c>
      <c r="G22" s="70">
        <v>0</v>
      </c>
      <c r="H22" s="70">
        <f>G22+0.5</f>
        <v>0.5</v>
      </c>
      <c r="I22">
        <f>H22+1</f>
        <v>1.5</v>
      </c>
      <c r="J22">
        <f t="shared" ref="J22:L22" si="3">I22+1</f>
        <v>2.5</v>
      </c>
      <c r="K22">
        <f t="shared" si="3"/>
        <v>3.5</v>
      </c>
      <c r="L22">
        <f t="shared" si="3"/>
        <v>4.5</v>
      </c>
    </row>
    <row r="23" spans="1:12" x14ac:dyDescent="0.3">
      <c r="B23" t="s">
        <v>542</v>
      </c>
      <c r="G23">
        <f>1/((1+'WACC Model'!$J$43)^DCF!G22)</f>
        <v>1</v>
      </c>
      <c r="H23">
        <f>1/((1+$C$28)^DCF!H22)</f>
        <v>0.93752083981694034</v>
      </c>
      <c r="I23">
        <f>1/((1+$C$28)^DCF!I22)</f>
        <v>0.82402955933254562</v>
      </c>
      <c r="J23">
        <f>1/((1+$C$28)^DCF!J22)</f>
        <v>0.72427692891218842</v>
      </c>
      <c r="K23">
        <f>1/((1+$C$28)^DCF!K22)</f>
        <v>0.63659982073867893</v>
      </c>
      <c r="L23">
        <f>1/((1+$C$28)^DCF!L22)</f>
        <v>0.55953643639206962</v>
      </c>
    </row>
    <row r="24" spans="1:12" ht="9" customHeight="1" x14ac:dyDescent="0.3"/>
    <row r="25" spans="1:12" x14ac:dyDescent="0.3">
      <c r="B25" s="122" t="s">
        <v>541</v>
      </c>
      <c r="C25" s="122"/>
      <c r="D25" s="122"/>
      <c r="E25" s="122"/>
      <c r="F25" s="122"/>
      <c r="G25" s="122"/>
      <c r="H25" s="131">
        <f>H23*H20</f>
        <v>2175.0000214833262</v>
      </c>
      <c r="I25" s="131">
        <f>I23*I20</f>
        <v>2114.8201475347696</v>
      </c>
      <c r="J25" s="131">
        <f>J23*J20</f>
        <v>2056.305384939174</v>
      </c>
      <c r="K25" s="131">
        <f>K23*K20</f>
        <v>1999.4096618848891</v>
      </c>
      <c r="L25" s="131">
        <f>L23*L20</f>
        <v>1944.0881813169487</v>
      </c>
    </row>
    <row r="28" spans="1:12" x14ac:dyDescent="0.3">
      <c r="A28" t="s">
        <v>59</v>
      </c>
      <c r="B28" t="s">
        <v>471</v>
      </c>
      <c r="C28" s="83">
        <f>'WACC Model'!J43</f>
        <v>0.13772719582574369</v>
      </c>
      <c r="F28" s="9" t="s">
        <v>553</v>
      </c>
      <c r="G28" s="9"/>
      <c r="H28" s="9"/>
      <c r="I28" s="9"/>
      <c r="J28" s="9" t="s">
        <v>471</v>
      </c>
      <c r="K28" s="9"/>
      <c r="L28" s="9"/>
    </row>
    <row r="29" spans="1:12" x14ac:dyDescent="0.3">
      <c r="B29" t="s">
        <v>543</v>
      </c>
      <c r="C29" s="142">
        <v>0.06</v>
      </c>
      <c r="F29" s="9"/>
      <c r="G29" s="144">
        <f>C39</f>
        <v>258.20565706820048</v>
      </c>
      <c r="H29" s="145">
        <v>0.09</v>
      </c>
      <c r="I29" s="145">
        <v>0.11</v>
      </c>
      <c r="J29" s="54">
        <v>0.13769999999999999</v>
      </c>
      <c r="K29" s="145">
        <v>0.15</v>
      </c>
      <c r="L29" s="146">
        <v>0.17</v>
      </c>
    </row>
    <row r="30" spans="1:12" x14ac:dyDescent="0.3">
      <c r="C30" s="132"/>
      <c r="F30" s="9"/>
      <c r="G30" s="145">
        <v>0.02</v>
      </c>
      <c r="H30" s="114">
        <f t="dataTable" ref="H30:L34" dt2D="1" dtr="1" r1="C28" r2="C29"/>
        <v>355.55735692375697</v>
      </c>
      <c r="I30" s="114">
        <v>270.38419632134884</v>
      </c>
      <c r="J30" s="114">
        <v>203.58073941993885</v>
      </c>
      <c r="K30" s="114">
        <v>183.92094669361029</v>
      </c>
      <c r="L30" s="147">
        <v>159.60755648296683</v>
      </c>
    </row>
    <row r="31" spans="1:12" x14ac:dyDescent="0.3">
      <c r="B31" s="134" t="s">
        <v>544</v>
      </c>
      <c r="C31" s="135">
        <f>(L25*(1+$C$29))/($C$28-$C$29)</f>
        <v>26512.386691730349</v>
      </c>
      <c r="F31" s="193" t="s">
        <v>554</v>
      </c>
      <c r="G31" s="145">
        <v>0.04</v>
      </c>
      <c r="H31" s="114">
        <v>456.2555683392265</v>
      </c>
      <c r="I31" s="114">
        <v>318.7543430591997</v>
      </c>
      <c r="J31" s="114">
        <v>225.33822444976644</v>
      </c>
      <c r="K31" s="114">
        <v>199.9749380324692</v>
      </c>
      <c r="L31" s="147">
        <v>169.86361002199607</v>
      </c>
    </row>
    <row r="32" spans="1:12" x14ac:dyDescent="0.3">
      <c r="B32" s="134" t="s">
        <v>545</v>
      </c>
      <c r="C32" s="135">
        <f>C31/((1+C28)^$L$22)</f>
        <v>14834.64636973933</v>
      </c>
      <c r="F32" s="193"/>
      <c r="G32" s="145">
        <v>0.06</v>
      </c>
      <c r="H32" s="114">
        <v>691.21806164198858</v>
      </c>
      <c r="I32" s="114">
        <v>405.82060718733152</v>
      </c>
      <c r="J32" s="143">
        <v>258.29647397371377</v>
      </c>
      <c r="K32" s="114">
        <v>223.16403663304314</v>
      </c>
      <c r="L32" s="147">
        <v>183.84913757521767</v>
      </c>
    </row>
    <row r="33" spans="2:12" x14ac:dyDescent="0.3">
      <c r="B33" s="134" t="s">
        <v>546</v>
      </c>
      <c r="C33" s="135">
        <f>SUM(H25:L25)</f>
        <v>10289.623397159108</v>
      </c>
      <c r="F33" s="9"/>
      <c r="G33" s="145">
        <v>7.0000000000000007E-2</v>
      </c>
      <c r="H33" s="114">
        <v>984.92117827044183</v>
      </c>
      <c r="I33" s="114">
        <v>482.00358829944679</v>
      </c>
      <c r="J33" s="114">
        <v>282.07801738944244</v>
      </c>
      <c r="K33" s="114">
        <v>239.10654192093776</v>
      </c>
      <c r="L33" s="147">
        <v>192.93973048481175</v>
      </c>
    </row>
    <row r="34" spans="2:12" x14ac:dyDescent="0.3">
      <c r="B34" s="134" t="s">
        <v>547</v>
      </c>
      <c r="C34" s="135">
        <f>SUM(C32:C33)</f>
        <v>25124.26976689844</v>
      </c>
      <c r="F34" s="9"/>
      <c r="G34" s="148">
        <v>0.08</v>
      </c>
      <c r="H34" s="149">
        <v>1866.0305281558003</v>
      </c>
      <c r="I34" s="149">
        <v>608.97522348630548</v>
      </c>
      <c r="J34" s="149">
        <v>314.10273010005091</v>
      </c>
      <c r="K34" s="149">
        <v>259.60404871965932</v>
      </c>
      <c r="L34" s="150">
        <v>204.05045515209338</v>
      </c>
    </row>
    <row r="35" spans="2:12" x14ac:dyDescent="0.3">
      <c r="B35" s="134" t="s">
        <v>548</v>
      </c>
      <c r="C35" s="135">
        <f>Historical_FS!L64</f>
        <v>2817.86</v>
      </c>
    </row>
    <row r="36" spans="2:12" x14ac:dyDescent="0.3">
      <c r="B36" s="134" t="s">
        <v>549</v>
      </c>
      <c r="C36" s="135">
        <f>Historical_FS!L52</f>
        <v>2392.6799999999998</v>
      </c>
    </row>
    <row r="37" spans="2:12" x14ac:dyDescent="0.3">
      <c r="B37" s="136" t="s">
        <v>550</v>
      </c>
      <c r="C37" s="137">
        <f>C34+C35-C36</f>
        <v>25549.44976689844</v>
      </c>
    </row>
    <row r="38" spans="2:12" ht="15" thickBot="1" x14ac:dyDescent="0.35">
      <c r="B38" s="138" t="s">
        <v>42</v>
      </c>
      <c r="C38" s="138">
        <f>Historical_FS!L39</f>
        <v>98.95</v>
      </c>
    </row>
    <row r="39" spans="2:12" ht="15" thickBot="1" x14ac:dyDescent="0.35">
      <c r="B39" s="112" t="s">
        <v>552</v>
      </c>
      <c r="C39" s="112">
        <f>C37/C38</f>
        <v>258.20565706820048</v>
      </c>
    </row>
    <row r="40" spans="2:12" ht="15" thickTop="1" x14ac:dyDescent="0.3"/>
  </sheetData>
  <mergeCells count="1">
    <mergeCell ref="F31:F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8E07-6DE6-44A4-ADB5-70B3DC57757D}">
  <dimension ref="A2:M23"/>
  <sheetViews>
    <sheetView showGridLines="0" workbookViewId="0"/>
  </sheetViews>
  <sheetFormatPr defaultRowHeight="14.4" x14ac:dyDescent="0.3"/>
  <cols>
    <col min="1" max="1" width="1.88671875" customWidth="1"/>
    <col min="4" max="4" width="13.109375" customWidth="1"/>
  </cols>
  <sheetData>
    <row r="2" spans="1:13" x14ac:dyDescent="0.3">
      <c r="A2" t="s">
        <v>59</v>
      </c>
      <c r="B2" s="9" t="s">
        <v>526</v>
      </c>
      <c r="C2" s="9"/>
      <c r="D2" s="9"/>
      <c r="E2" s="119">
        <f>Historical_FS!I3</f>
        <v>44651</v>
      </c>
      <c r="F2" s="119">
        <f>Historical_FS!J3</f>
        <v>45016</v>
      </c>
      <c r="G2" s="119">
        <f>Historical_FS!K3</f>
        <v>45382</v>
      </c>
      <c r="H2" s="119">
        <f>Historical_FS!L3</f>
        <v>45747</v>
      </c>
      <c r="I2" s="120">
        <f>H2+366</f>
        <v>46113</v>
      </c>
      <c r="J2" s="120">
        <f t="shared" ref="J2:M2" si="0">I2+366</f>
        <v>46479</v>
      </c>
      <c r="K2" s="120">
        <f t="shared" si="0"/>
        <v>46845</v>
      </c>
      <c r="L2" s="120">
        <f t="shared" si="0"/>
        <v>47211</v>
      </c>
      <c r="M2" s="120">
        <f t="shared" si="0"/>
        <v>47577</v>
      </c>
    </row>
    <row r="3" spans="1:13" ht="6" customHeight="1" x14ac:dyDescent="0.3"/>
    <row r="4" spans="1:13" x14ac:dyDescent="0.3">
      <c r="B4" s="178" t="s">
        <v>1</v>
      </c>
      <c r="C4" s="178"/>
      <c r="D4" s="178"/>
      <c r="E4" s="179">
        <f>Historical_FS!I6</f>
        <v>12425.37</v>
      </c>
      <c r="F4" s="179">
        <f>Historical_FS!J6</f>
        <v>13783.16</v>
      </c>
      <c r="G4" s="179">
        <f>Historical_FS!K6</f>
        <v>15205.85</v>
      </c>
      <c r="H4" s="179">
        <f>Historical_FS!L6</f>
        <v>17618.3</v>
      </c>
      <c r="I4" s="179">
        <f>H4*(1+$E$19)</f>
        <v>19490.20081417562</v>
      </c>
      <c r="J4" s="179">
        <f>I4*(1+$E$19)</f>
        <v>21560.986461627512</v>
      </c>
      <c r="K4" s="179">
        <f>J4*(1+$E$19)</f>
        <v>23851.787964153296</v>
      </c>
      <c r="L4" s="179">
        <f>K4*(1+$E$19)</f>
        <v>26385.981462370652</v>
      </c>
      <c r="M4" s="179">
        <f>L4*(1+$E$19)</f>
        <v>29189.426754040927</v>
      </c>
    </row>
    <row r="5" spans="1:13" x14ac:dyDescent="0.3">
      <c r="B5" s="180" t="s">
        <v>527</v>
      </c>
      <c r="C5" s="180"/>
      <c r="D5" s="180"/>
      <c r="E5" s="181">
        <f>Historical_FS!I7</f>
        <v>7.0965167302618593E-2</v>
      </c>
      <c r="F5" s="181">
        <f>Historical_FS!J7</f>
        <v>0.10927561915661266</v>
      </c>
      <c r="G5" s="181">
        <f>Historical_FS!K7</f>
        <v>0.10321943589133409</v>
      </c>
      <c r="H5" s="181">
        <f>Historical_FS!L7</f>
        <v>0.1586527553540249</v>
      </c>
      <c r="I5" s="181">
        <f>I4/H4-1</f>
        <v>0.10624752752397337</v>
      </c>
      <c r="J5" s="181">
        <f t="shared" ref="J5:M5" si="1">J4/I4-1</f>
        <v>0.10624752752397337</v>
      </c>
      <c r="K5" s="181">
        <f t="shared" si="1"/>
        <v>0.10624752752397337</v>
      </c>
      <c r="L5" s="181">
        <f t="shared" si="1"/>
        <v>0.10624752752397337</v>
      </c>
      <c r="M5" s="181">
        <f t="shared" si="1"/>
        <v>0.10624752752397337</v>
      </c>
    </row>
    <row r="7" spans="1:13" x14ac:dyDescent="0.3">
      <c r="B7" s="178" t="s">
        <v>71</v>
      </c>
      <c r="C7" s="178"/>
      <c r="D7" s="178"/>
      <c r="E7" s="179">
        <f>Historical_FS!I24</f>
        <v>1860.6000000000024</v>
      </c>
      <c r="F7" s="179">
        <f>Historical_FS!J24</f>
        <v>2012.6499999999978</v>
      </c>
      <c r="G7" s="179">
        <f>Historical_FS!K24</f>
        <v>2547.3200000000006</v>
      </c>
      <c r="H7" s="179">
        <f>Historical_FS!L24</f>
        <v>2671.4399999999996</v>
      </c>
      <c r="I7" s="179">
        <f>I4*$E$20</f>
        <v>2923.530122126343</v>
      </c>
      <c r="J7" s="179">
        <f>J4*$E$20</f>
        <v>3234.1479692441267</v>
      </c>
      <c r="K7" s="179">
        <f>K4*$E$20</f>
        <v>3577.7681946229945</v>
      </c>
      <c r="L7" s="179">
        <f>L4*$E$20</f>
        <v>3957.8972193555974</v>
      </c>
      <c r="M7" s="179">
        <f>M4*$E$20</f>
        <v>4378.4140131061386</v>
      </c>
    </row>
    <row r="8" spans="1:13" x14ac:dyDescent="0.3">
      <c r="B8" s="180" t="s">
        <v>72</v>
      </c>
      <c r="C8" s="180"/>
      <c r="D8" s="180"/>
      <c r="E8" s="182">
        <f>Historical_FS!I25</f>
        <v>0.14974201975474391</v>
      </c>
      <c r="F8" s="182">
        <f>Historical_FS!J25</f>
        <v>0.14602239254278393</v>
      </c>
      <c r="G8" s="182">
        <f>Historical_FS!K25</f>
        <v>0.16752236803598619</v>
      </c>
      <c r="H8" s="182">
        <f>Historical_FS!L25</f>
        <v>0.15162870424501795</v>
      </c>
      <c r="I8" s="182">
        <f>I7/I4</f>
        <v>0.15</v>
      </c>
      <c r="J8" s="182">
        <f t="shared" ref="J8:M8" si="2">J7/J4</f>
        <v>0.15</v>
      </c>
      <c r="K8" s="182">
        <f t="shared" si="2"/>
        <v>0.15</v>
      </c>
      <c r="L8" s="182">
        <f t="shared" si="2"/>
        <v>0.15</v>
      </c>
      <c r="M8" s="182">
        <f t="shared" si="2"/>
        <v>0.15</v>
      </c>
    </row>
    <row r="10" spans="1:13" x14ac:dyDescent="0.3">
      <c r="B10" s="178" t="s">
        <v>5</v>
      </c>
      <c r="C10" s="178"/>
      <c r="D10" s="178"/>
      <c r="E10" s="179">
        <f>Historical_FS!I21</f>
        <v>278.01</v>
      </c>
      <c r="F10" s="179">
        <f>Historical_FS!J21</f>
        <v>304.08</v>
      </c>
      <c r="G10" s="179">
        <f>Historical_FS!K21</f>
        <v>377.15</v>
      </c>
      <c r="H10" s="179">
        <f>Historical_FS!L21</f>
        <v>600.74</v>
      </c>
      <c r="I10" s="179">
        <f>I4*$E$21</f>
        <v>503.51249521247996</v>
      </c>
      <c r="J10" s="179">
        <f>J4*$E$21</f>
        <v>557.00945290623247</v>
      </c>
      <c r="K10" s="179">
        <f>K4*$E$21</f>
        <v>616.19033008500071</v>
      </c>
      <c r="L10" s="179">
        <f>L4*$E$21</f>
        <v>681.65902914071307</v>
      </c>
      <c r="M10" s="179">
        <f>M4*$E$21</f>
        <v>754.08361560130595</v>
      </c>
    </row>
    <row r="11" spans="1:13" x14ac:dyDescent="0.3">
      <c r="B11" s="180" t="s">
        <v>70</v>
      </c>
      <c r="C11" s="180"/>
      <c r="D11" s="180"/>
      <c r="E11" s="182">
        <f>Historical_FS!I22</f>
        <v>2.237438402236714E-2</v>
      </c>
      <c r="F11" s="182">
        <f>Historical_FS!J22</f>
        <v>2.2061704282617337E-2</v>
      </c>
      <c r="G11" s="182">
        <f>Historical_FS!K22</f>
        <v>2.4802954126208004E-2</v>
      </c>
      <c r="H11" s="182">
        <f>Historical_FS!L22</f>
        <v>3.4097500893956856E-2</v>
      </c>
      <c r="I11" s="182">
        <f>I10/I4</f>
        <v>2.5834135831287335E-2</v>
      </c>
      <c r="J11" s="182">
        <f t="shared" ref="J11:M11" si="3">J10/J4</f>
        <v>2.5834135831287335E-2</v>
      </c>
      <c r="K11" s="182">
        <f t="shared" si="3"/>
        <v>2.5834135831287335E-2</v>
      </c>
      <c r="L11" s="182">
        <f t="shared" si="3"/>
        <v>2.5834135831287335E-2</v>
      </c>
      <c r="M11" s="182">
        <f t="shared" si="3"/>
        <v>2.5834135831287339E-2</v>
      </c>
    </row>
    <row r="13" spans="1:13" x14ac:dyDescent="0.3">
      <c r="B13" s="178" t="s">
        <v>533</v>
      </c>
      <c r="C13" s="178"/>
      <c r="D13" s="178"/>
      <c r="E13" s="179">
        <f>-'RAW CFS'!J12</f>
        <v>211</v>
      </c>
      <c r="F13" s="179">
        <f>-'RAW CFS'!K12</f>
        <v>273</v>
      </c>
      <c r="G13" s="179">
        <f>-'RAW CFS'!L12</f>
        <v>312</v>
      </c>
      <c r="H13" s="179">
        <f>-'RAW CFS'!M12</f>
        <v>335</v>
      </c>
      <c r="I13" s="179">
        <f>I4*$E$22</f>
        <v>371.87743440547985</v>
      </c>
      <c r="J13" s="179">
        <f>J4*$E$22</f>
        <v>411.38849235302064</v>
      </c>
      <c r="K13" s="179">
        <f>K4*$E$22</f>
        <v>455.09750251734408</v>
      </c>
      <c r="L13" s="179">
        <f>L4*$E$22</f>
        <v>503.45048694214717</v>
      </c>
      <c r="M13" s="179">
        <f>M4*$E$22</f>
        <v>556.94085641049071</v>
      </c>
    </row>
    <row r="14" spans="1:13" x14ac:dyDescent="0.3">
      <c r="B14" s="180" t="s">
        <v>534</v>
      </c>
      <c r="C14" s="178"/>
      <c r="D14" s="178"/>
      <c r="E14" s="182">
        <f>E13/E4</f>
        <v>1.6981385664974161E-2</v>
      </c>
      <c r="F14" s="182">
        <f t="shared" ref="F14:H14" si="4">F13/F4</f>
        <v>1.9806778706769709E-2</v>
      </c>
      <c r="G14" s="182">
        <f t="shared" si="4"/>
        <v>2.0518418897989919E-2</v>
      </c>
      <c r="H14" s="182">
        <f t="shared" si="4"/>
        <v>1.9014320337376479E-2</v>
      </c>
      <c r="I14" s="182">
        <f>I13/I4</f>
        <v>1.9080225901777565E-2</v>
      </c>
      <c r="J14" s="182">
        <f t="shared" ref="J14:M14" si="5">J13/J4</f>
        <v>1.9080225901777565E-2</v>
      </c>
      <c r="K14" s="182">
        <f t="shared" si="5"/>
        <v>1.9080225901777565E-2</v>
      </c>
      <c r="L14" s="182">
        <f t="shared" si="5"/>
        <v>1.9080225901777565E-2</v>
      </c>
      <c r="M14" s="182">
        <f t="shared" si="5"/>
        <v>1.9080225901777565E-2</v>
      </c>
    </row>
    <row r="16" spans="1:13" x14ac:dyDescent="0.3">
      <c r="B16" s="178" t="s">
        <v>536</v>
      </c>
      <c r="C16" s="178"/>
      <c r="D16" s="178"/>
      <c r="E16" s="179">
        <f>'RAW CFS'!K8</f>
        <v>2</v>
      </c>
      <c r="F16" s="179">
        <f>'RAW CFS'!L8</f>
        <v>-25</v>
      </c>
      <c r="G16" s="179">
        <f>'RAW CFS'!M8</f>
        <v>11</v>
      </c>
      <c r="H16" s="179">
        <f>'RAW CFS'!N8</f>
        <v>5</v>
      </c>
      <c r="I16" s="179">
        <f>I4*$E$23</f>
        <v>4.33419994067396</v>
      </c>
      <c r="J16" s="179">
        <f t="shared" ref="J16:M16" si="6">J4*$E$23</f>
        <v>4.7946979681651198</v>
      </c>
      <c r="K16" s="179">
        <f t="shared" si="6"/>
        <v>5.304122772506882</v>
      </c>
      <c r="L16" s="179">
        <f t="shared" si="6"/>
        <v>5.8676727027693412</v>
      </c>
      <c r="M16" s="179">
        <f t="shared" si="6"/>
        <v>6.4910984197584938</v>
      </c>
    </row>
    <row r="17" spans="2:13" x14ac:dyDescent="0.3">
      <c r="B17" s="180" t="s">
        <v>537</v>
      </c>
      <c r="C17" s="180"/>
      <c r="D17" s="180"/>
      <c r="E17" s="181">
        <f>E16/E4</f>
        <v>1.6096100156373611E-4</v>
      </c>
      <c r="F17" s="181">
        <f t="shared" ref="F17:H17" si="7">F16/F4</f>
        <v>-1.8138075738800101E-3</v>
      </c>
      <c r="G17" s="181">
        <f t="shared" si="7"/>
        <v>7.2340579448041374E-4</v>
      </c>
      <c r="H17" s="181">
        <f t="shared" si="7"/>
        <v>2.8379582593099221E-4</v>
      </c>
      <c r="I17" s="181">
        <f t="shared" ref="I17" si="8">I16/I4</f>
        <v>2.2237841374736416E-4</v>
      </c>
      <c r="J17" s="181">
        <f t="shared" ref="J17" si="9">J16/J4</f>
        <v>2.2237841374736416E-4</v>
      </c>
      <c r="K17" s="181">
        <f t="shared" ref="K17" si="10">K16/K4</f>
        <v>2.2237841374736413E-4</v>
      </c>
      <c r="L17" s="181">
        <f t="shared" ref="L17" si="11">L16/L4</f>
        <v>2.2237841374736413E-4</v>
      </c>
      <c r="M17" s="181">
        <f t="shared" ref="M17" si="12">M16/M4</f>
        <v>2.2237841374736416E-4</v>
      </c>
    </row>
    <row r="18" spans="2:13" x14ac:dyDescent="0.3">
      <c r="C18" s="69"/>
    </row>
    <row r="19" spans="2:13" x14ac:dyDescent="0.3">
      <c r="B19" s="139" t="s">
        <v>530</v>
      </c>
      <c r="C19" s="139"/>
      <c r="D19" s="139"/>
      <c r="E19" s="140">
        <f>MEDIAN(E5:H5)</f>
        <v>0.10624752752397337</v>
      </c>
      <c r="F19" s="74"/>
    </row>
    <row r="20" spans="2:13" x14ac:dyDescent="0.3">
      <c r="B20" s="139" t="s">
        <v>529</v>
      </c>
      <c r="C20" s="74"/>
      <c r="D20" s="74"/>
      <c r="E20" s="141">
        <v>0.15</v>
      </c>
      <c r="F20" s="139" t="s">
        <v>531</v>
      </c>
    </row>
    <row r="21" spans="2:13" x14ac:dyDescent="0.3">
      <c r="B21" s="139" t="s">
        <v>532</v>
      </c>
      <c r="C21" s="74"/>
      <c r="D21" s="74"/>
      <c r="E21" s="83">
        <f>AVERAGE(E11:H11)</f>
        <v>2.5834135831287335E-2</v>
      </c>
      <c r="F21" s="74"/>
    </row>
    <row r="22" spans="2:13" x14ac:dyDescent="0.3">
      <c r="B22" s="139" t="s">
        <v>535</v>
      </c>
      <c r="C22" s="74"/>
      <c r="D22" s="74"/>
      <c r="E22" s="83">
        <f>AVERAGE(E14:H14)</f>
        <v>1.9080225901777565E-2</v>
      </c>
      <c r="F22" s="74"/>
    </row>
    <row r="23" spans="2:13" x14ac:dyDescent="0.3">
      <c r="B23" s="139" t="s">
        <v>538</v>
      </c>
      <c r="C23" s="74"/>
      <c r="D23" s="74"/>
      <c r="E23" s="83">
        <f>MEDIAN(E17:H17)</f>
        <v>2.2237841374736416E-4</v>
      </c>
      <c r="F23" s="7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3727-B51E-42AB-93AD-3CFEE1926CAA}">
  <dimension ref="B2:M59"/>
  <sheetViews>
    <sheetView showGridLines="0" workbookViewId="0">
      <selection activeCell="E2" sqref="E2"/>
    </sheetView>
  </sheetViews>
  <sheetFormatPr defaultRowHeight="14.4" x14ac:dyDescent="0.3"/>
  <cols>
    <col min="1" max="1" width="1.88671875" customWidth="1"/>
    <col min="2" max="2" width="29.21875" bestFit="1" customWidth="1"/>
    <col min="3" max="3" width="4.5546875" customWidth="1"/>
    <col min="4" max="4" width="4.33203125" customWidth="1"/>
    <col min="6" max="6" width="9.33203125" customWidth="1"/>
    <col min="8" max="8" width="13.21875" bestFit="1" customWidth="1"/>
  </cols>
  <sheetData>
    <row r="2" spans="2:12" x14ac:dyDescent="0.3">
      <c r="B2" s="9" t="s">
        <v>508</v>
      </c>
      <c r="C2" s="9"/>
      <c r="D2" s="9"/>
      <c r="E2" s="11">
        <f>'RAW BS'!J3</f>
        <v>44256</v>
      </c>
      <c r="F2" s="11">
        <f>'RAW BS'!K3</f>
        <v>44621</v>
      </c>
      <c r="G2" s="11">
        <f>'RAW BS'!L3</f>
        <v>44986</v>
      </c>
      <c r="H2" s="11">
        <f>'RAW BS'!M3</f>
        <v>45352</v>
      </c>
      <c r="I2" s="11">
        <f>'RAW BS'!N3</f>
        <v>45717</v>
      </c>
    </row>
    <row r="4" spans="2:12" x14ac:dyDescent="0.3">
      <c r="B4" s="2" t="s">
        <v>509</v>
      </c>
      <c r="J4" s="108"/>
    </row>
    <row r="5" spans="2:12" x14ac:dyDescent="0.3">
      <c r="B5" t="str">
        <f>'RAW BS'!B44</f>
        <v>Inventories</v>
      </c>
      <c r="E5" s="114">
        <f>'RAW BS'!J44</f>
        <v>2249</v>
      </c>
      <c r="F5" s="114">
        <f>'RAW BS'!K44</f>
        <v>2267</v>
      </c>
      <c r="G5" s="114">
        <f>'RAW BS'!L44</f>
        <v>2702</v>
      </c>
      <c r="H5" s="114">
        <f>'RAW BS'!M44</f>
        <v>2769</v>
      </c>
      <c r="I5" s="114">
        <f>'RAW BS'!N44</f>
        <v>3600</v>
      </c>
      <c r="L5" s="117"/>
    </row>
    <row r="6" spans="2:12" x14ac:dyDescent="0.3">
      <c r="B6" t="str">
        <f>'RAW BS'!B45</f>
        <v xml:space="preserve">Trade receivables </v>
      </c>
      <c r="E6" s="114">
        <f>'RAW BS'!J45</f>
        <v>761</v>
      </c>
      <c r="F6" s="114">
        <f>'RAW BS'!K45</f>
        <v>835</v>
      </c>
      <c r="G6" s="114">
        <f>'RAW BS'!L45</f>
        <v>798</v>
      </c>
      <c r="H6" s="114">
        <f>'RAW BS'!M45</f>
        <v>897</v>
      </c>
      <c r="I6" s="114">
        <f>'RAW BS'!N45</f>
        <v>870</v>
      </c>
      <c r="L6" s="117"/>
    </row>
    <row r="7" spans="2:12" x14ac:dyDescent="0.3">
      <c r="B7" t="str">
        <f>'RAW BS'!B46</f>
        <v>Cash Equivalents</v>
      </c>
      <c r="E7" s="114">
        <f>'RAW BS'!J46</f>
        <v>3075</v>
      </c>
      <c r="F7" s="114">
        <f>'RAW BS'!K46</f>
        <v>2600</v>
      </c>
      <c r="G7" s="114">
        <f>'RAW BS'!L46</f>
        <v>2797</v>
      </c>
      <c r="H7" s="114">
        <f>'RAW BS'!M46</f>
        <v>2454</v>
      </c>
      <c r="I7" s="114">
        <f>'RAW BS'!N46</f>
        <v>2818</v>
      </c>
    </row>
    <row r="8" spans="2:12" x14ac:dyDescent="0.3">
      <c r="B8" t="str">
        <f>'RAW BS'!B47</f>
        <v>Loans n Advances</v>
      </c>
      <c r="E8" s="114">
        <f>'RAW BS'!J47</f>
        <v>207</v>
      </c>
      <c r="F8" s="114">
        <f>'RAW BS'!K47</f>
        <v>235</v>
      </c>
      <c r="G8" s="114">
        <f>'RAW BS'!L47</f>
        <v>235</v>
      </c>
      <c r="H8" s="114">
        <f>'RAW BS'!M47</f>
        <v>591</v>
      </c>
      <c r="I8" s="114">
        <f>'RAW BS'!N47</f>
        <v>737</v>
      </c>
    </row>
    <row r="9" spans="2:12" x14ac:dyDescent="0.3">
      <c r="B9" t="str">
        <f>'RAW BS'!B48</f>
        <v>Other asset items</v>
      </c>
      <c r="E9" s="114">
        <f>'RAW BS'!J48</f>
        <v>983</v>
      </c>
      <c r="F9" s="114">
        <f>'RAW BS'!K48</f>
        <v>1495</v>
      </c>
      <c r="G9" s="114">
        <f>'RAW BS'!L48</f>
        <v>1433</v>
      </c>
      <c r="H9" s="114">
        <f>'RAW BS'!M48</f>
        <v>749</v>
      </c>
      <c r="I9" s="114">
        <f>'RAW BS'!N48</f>
        <v>1143</v>
      </c>
    </row>
    <row r="10" spans="2:12" x14ac:dyDescent="0.3">
      <c r="B10" s="2" t="s">
        <v>86</v>
      </c>
      <c r="C10" s="2"/>
      <c r="D10" s="2"/>
      <c r="E10" s="115">
        <f>SUM(E5:E9)</f>
        <v>7275</v>
      </c>
      <c r="F10" s="115">
        <f t="shared" ref="F10:I10" si="0">SUM(F5:F9)</f>
        <v>7432</v>
      </c>
      <c r="G10" s="115">
        <f t="shared" si="0"/>
        <v>7965</v>
      </c>
      <c r="H10" s="115">
        <f t="shared" si="0"/>
        <v>7460</v>
      </c>
      <c r="I10" s="115">
        <f t="shared" si="0"/>
        <v>9168</v>
      </c>
    </row>
    <row r="11" spans="2:12" x14ac:dyDescent="0.3">
      <c r="E11" s="114"/>
      <c r="F11" s="114"/>
      <c r="G11" s="114"/>
      <c r="H11" s="114"/>
      <c r="I11" s="114"/>
    </row>
    <row r="12" spans="2:12" x14ac:dyDescent="0.3">
      <c r="B12" s="2" t="s">
        <v>510</v>
      </c>
      <c r="E12" s="114"/>
      <c r="F12" s="114"/>
      <c r="G12" s="114"/>
      <c r="H12" s="114"/>
      <c r="I12" s="114"/>
    </row>
    <row r="13" spans="2:12" x14ac:dyDescent="0.3">
      <c r="B13" t="str">
        <f>'RAW BS'!B18</f>
        <v>Trade Payables</v>
      </c>
      <c r="E13" s="114">
        <f>'RAW BS'!J18</f>
        <v>1625</v>
      </c>
      <c r="F13" s="114">
        <f>'RAW BS'!K18</f>
        <v>1916</v>
      </c>
      <c r="G13" s="114">
        <f>'RAW BS'!L18</f>
        <v>2348</v>
      </c>
      <c r="H13" s="114">
        <f>'RAW BS'!M18</f>
        <v>2707</v>
      </c>
      <c r="I13" s="114">
        <f>'RAW BS'!N18</f>
        <v>3508</v>
      </c>
    </row>
    <row r="14" spans="2:12" x14ac:dyDescent="0.3">
      <c r="B14" t="str">
        <f>'RAW BS'!B19</f>
        <v>Advance from Customers</v>
      </c>
      <c r="E14" s="114">
        <f>'RAW BS'!J19</f>
        <v>41</v>
      </c>
      <c r="F14" s="114">
        <f>'RAW BS'!K19</f>
        <v>44</v>
      </c>
      <c r="G14" s="114">
        <f>'RAW BS'!L19</f>
        <v>52</v>
      </c>
      <c r="H14" s="114">
        <f>'RAW BS'!M19</f>
        <v>64</v>
      </c>
      <c r="I14" s="114">
        <f>'RAW BS'!N19</f>
        <v>65</v>
      </c>
    </row>
    <row r="15" spans="2:12" x14ac:dyDescent="0.3">
      <c r="B15" t="str">
        <f>'RAW BS'!B20</f>
        <v>Other liability items</v>
      </c>
      <c r="E15" s="114">
        <f>'RAW BS'!J20</f>
        <v>1291</v>
      </c>
      <c r="F15" s="114">
        <f>'RAW BS'!K20</f>
        <v>1409</v>
      </c>
      <c r="G15" s="114">
        <f>'RAW BS'!L20</f>
        <v>1636</v>
      </c>
      <c r="H15" s="114">
        <f>'RAW BS'!M20</f>
        <v>4195</v>
      </c>
      <c r="I15" s="114">
        <f>'RAW BS'!N20</f>
        <v>4474</v>
      </c>
    </row>
    <row r="16" spans="2:12" x14ac:dyDescent="0.3">
      <c r="B16" s="2" t="s">
        <v>511</v>
      </c>
      <c r="C16" s="2"/>
      <c r="D16" s="2"/>
      <c r="E16" s="115">
        <f>SUM(E13:E15)</f>
        <v>2957</v>
      </c>
      <c r="F16" s="115">
        <f>SUM(F13:F15)</f>
        <v>3369</v>
      </c>
      <c r="G16" s="115">
        <f>SUM(G13:G15)</f>
        <v>4036</v>
      </c>
      <c r="H16" s="115">
        <f>SUM(H13:H15)</f>
        <v>6966</v>
      </c>
      <c r="I16" s="115">
        <f>SUM(I13:I15)</f>
        <v>8047</v>
      </c>
    </row>
    <row r="17" spans="2:10" x14ac:dyDescent="0.3">
      <c r="E17" s="115"/>
      <c r="F17" s="115"/>
      <c r="G17" s="115"/>
      <c r="H17" s="115"/>
      <c r="I17" s="115"/>
    </row>
    <row r="18" spans="2:10" x14ac:dyDescent="0.3">
      <c r="B18" s="2" t="s">
        <v>512</v>
      </c>
      <c r="C18" s="2"/>
      <c r="D18" s="2"/>
      <c r="E18" s="115">
        <f>E10-E16</f>
        <v>4318</v>
      </c>
      <c r="F18" s="115">
        <f>F10-F16</f>
        <v>4063</v>
      </c>
      <c r="G18" s="115">
        <f>G10-G16</f>
        <v>3929</v>
      </c>
      <c r="H18" s="115">
        <f>H10-H16</f>
        <v>494</v>
      </c>
      <c r="I18" s="115">
        <f>I10-I16</f>
        <v>1121</v>
      </c>
      <c r="J18" s="117"/>
    </row>
    <row r="19" spans="2:10" x14ac:dyDescent="0.3">
      <c r="E19" s="114"/>
      <c r="F19" s="114"/>
      <c r="G19" s="114"/>
      <c r="H19" s="114"/>
      <c r="I19" s="114"/>
    </row>
    <row r="20" spans="2:10" x14ac:dyDescent="0.3">
      <c r="B20" s="2" t="s">
        <v>499</v>
      </c>
      <c r="E20" s="114"/>
      <c r="F20" s="114"/>
      <c r="G20" s="114"/>
      <c r="H20" s="114"/>
      <c r="I20" s="114"/>
    </row>
    <row r="21" spans="2:10" x14ac:dyDescent="0.3">
      <c r="B21" t="str">
        <f>'RAW BS'!B27</f>
        <v>Land</v>
      </c>
      <c r="E21" s="114">
        <f>'RAW BS'!J27</f>
        <v>146</v>
      </c>
      <c r="F21" s="114">
        <f>'RAW BS'!K27</f>
        <v>168</v>
      </c>
      <c r="G21" s="114">
        <f>'RAW BS'!L27</f>
        <v>172</v>
      </c>
      <c r="H21" s="114">
        <f>'RAW BS'!M27</f>
        <v>204</v>
      </c>
      <c r="I21" s="114">
        <f>'RAW BS'!N27</f>
        <v>192</v>
      </c>
    </row>
    <row r="22" spans="2:10" x14ac:dyDescent="0.3">
      <c r="B22" t="str">
        <f>'RAW BS'!B28</f>
        <v>Building</v>
      </c>
      <c r="E22" s="114">
        <f>'RAW BS'!J28</f>
        <v>640</v>
      </c>
      <c r="F22" s="114">
        <f>'RAW BS'!K28</f>
        <v>714</v>
      </c>
      <c r="G22" s="114">
        <f>'RAW BS'!L28</f>
        <v>728</v>
      </c>
      <c r="H22" s="114">
        <f>'RAW BS'!M28</f>
        <v>963</v>
      </c>
      <c r="I22" s="114">
        <f>'RAW BS'!N28</f>
        <v>1027</v>
      </c>
    </row>
    <row r="23" spans="2:10" x14ac:dyDescent="0.3">
      <c r="B23" t="str">
        <f>'RAW BS'!B29</f>
        <v>Estates</v>
      </c>
      <c r="E23" s="114">
        <f>'RAW BS'!J29</f>
        <v>0</v>
      </c>
      <c r="F23" s="114">
        <f>'RAW BS'!K29</f>
        <v>0</v>
      </c>
      <c r="G23" s="114">
        <f>'RAW BS'!L29</f>
        <v>0</v>
      </c>
      <c r="H23" s="114">
        <f>'RAW BS'!M29</f>
        <v>0</v>
      </c>
      <c r="I23" s="114">
        <f>'RAW BS'!N29</f>
        <v>0</v>
      </c>
    </row>
    <row r="24" spans="2:10" x14ac:dyDescent="0.3">
      <c r="B24" t="str">
        <f>'RAW BS'!B30</f>
        <v>Plant Machinery</v>
      </c>
      <c r="E24" s="114">
        <f>'RAW BS'!J30</f>
        <v>2054</v>
      </c>
      <c r="F24" s="114">
        <f>'RAW BS'!K30</f>
        <v>2273</v>
      </c>
      <c r="G24" s="114">
        <f>'RAW BS'!L30</f>
        <v>2442</v>
      </c>
      <c r="H24" s="114">
        <f>'RAW BS'!M30</f>
        <v>2811</v>
      </c>
      <c r="I24" s="114">
        <f>'RAW BS'!N30</f>
        <v>2785</v>
      </c>
    </row>
    <row r="25" spans="2:10" x14ac:dyDescent="0.3">
      <c r="B25" t="str">
        <f>'RAW BS'!B31</f>
        <v>Equipments</v>
      </c>
      <c r="E25" s="114">
        <f>'RAW BS'!J31</f>
        <v>10</v>
      </c>
      <c r="F25" s="114">
        <f>'RAW BS'!K31</f>
        <v>9</v>
      </c>
      <c r="G25" s="114">
        <f>'RAW BS'!L31</f>
        <v>7</v>
      </c>
      <c r="H25" s="114">
        <f>'RAW BS'!M31</f>
        <v>0</v>
      </c>
      <c r="I25" s="114">
        <f>'RAW BS'!N31</f>
        <v>0</v>
      </c>
    </row>
    <row r="26" spans="2:10" x14ac:dyDescent="0.3">
      <c r="B26" t="str">
        <f>'RAW BS'!B32</f>
        <v>Furniture n fittings</v>
      </c>
      <c r="E26" s="114">
        <f>'RAW BS'!J32</f>
        <v>229</v>
      </c>
      <c r="F26" s="114">
        <f>'RAW BS'!K32</f>
        <v>229</v>
      </c>
      <c r="G26" s="114">
        <f>'RAW BS'!L32</f>
        <v>246</v>
      </c>
      <c r="H26" s="114">
        <f>'RAW BS'!M32</f>
        <v>264</v>
      </c>
      <c r="I26" s="114">
        <f>'RAW BS'!N32</f>
        <v>295</v>
      </c>
    </row>
    <row r="27" spans="2:10" x14ac:dyDescent="0.3">
      <c r="B27" t="str">
        <f>'RAW BS'!B33</f>
        <v>Vehicles</v>
      </c>
      <c r="E27" s="114">
        <f>'RAW BS'!J33</f>
        <v>25</v>
      </c>
      <c r="F27" s="114">
        <f>'RAW BS'!K33</f>
        <v>23</v>
      </c>
      <c r="G27" s="114">
        <f>'RAW BS'!L33</f>
        <v>20</v>
      </c>
      <c r="H27" s="114">
        <f>'RAW BS'!M33</f>
        <v>27</v>
      </c>
      <c r="I27" s="114">
        <f>'RAW BS'!N33</f>
        <v>34</v>
      </c>
    </row>
    <row r="28" spans="2:10" x14ac:dyDescent="0.3">
      <c r="B28" t="str">
        <f>'RAW BS'!B34</f>
        <v>Intangible Assets</v>
      </c>
      <c r="E28" s="114">
        <f>'RAW BS'!J34</f>
        <v>10812</v>
      </c>
      <c r="F28" s="114">
        <f>'RAW BS'!K34</f>
        <v>11008</v>
      </c>
      <c r="G28" s="114">
        <f>'RAW BS'!L34</f>
        <v>11405</v>
      </c>
      <c r="H28" s="114">
        <f>'RAW BS'!M34</f>
        <v>17596</v>
      </c>
      <c r="I28" s="114">
        <f>'RAW BS'!N34</f>
        <v>19944</v>
      </c>
    </row>
    <row r="29" spans="2:10" x14ac:dyDescent="0.3">
      <c r="B29" t="str">
        <f>'RAW BS'!B35</f>
        <v>Other fixed assets</v>
      </c>
      <c r="E29" s="114">
        <f>'RAW BS'!J35</f>
        <v>576</v>
      </c>
      <c r="F29" s="114">
        <f>'RAW BS'!K35</f>
        <v>802</v>
      </c>
      <c r="G29" s="114">
        <f>'RAW BS'!L35</f>
        <v>881</v>
      </c>
      <c r="H29" s="114">
        <f>'RAW BS'!M35</f>
        <v>646</v>
      </c>
      <c r="I29" s="114">
        <f>'RAW BS'!N35</f>
        <v>720</v>
      </c>
    </row>
    <row r="30" spans="2:10" x14ac:dyDescent="0.3">
      <c r="B30" t="str">
        <f>'RAW BS'!B36</f>
        <v>Gross Block</v>
      </c>
      <c r="E30" s="114">
        <f>SUM(E21:E29)</f>
        <v>14492</v>
      </c>
      <c r="F30" s="114">
        <f t="shared" ref="F30:I30" si="1">SUM(F21:F29)</f>
        <v>15226</v>
      </c>
      <c r="G30" s="114">
        <f t="shared" si="1"/>
        <v>15901</v>
      </c>
      <c r="H30" s="114">
        <f t="shared" si="1"/>
        <v>22511</v>
      </c>
      <c r="I30" s="114">
        <f t="shared" si="1"/>
        <v>24997</v>
      </c>
    </row>
    <row r="31" spans="2:10" x14ac:dyDescent="0.3">
      <c r="B31" t="str">
        <f>'RAW BS'!B37</f>
        <v>Accumulated Depreciation</v>
      </c>
      <c r="E31" s="114">
        <f>'RAW BS'!J37*-1</f>
        <v>-2469</v>
      </c>
      <c r="F31" s="114">
        <f>'RAW BS'!K37*-1</f>
        <v>-2627</v>
      </c>
      <c r="G31" s="114">
        <f>'RAW BS'!L37*-1</f>
        <v>-2830</v>
      </c>
      <c r="H31" s="114">
        <f>'RAW BS'!M37*-1</f>
        <v>-3152</v>
      </c>
      <c r="I31" s="114">
        <f>'RAW BS'!N37*-1</f>
        <v>-3520</v>
      </c>
    </row>
    <row r="32" spans="2:10" x14ac:dyDescent="0.3">
      <c r="B32" s="2" t="str">
        <f>'RAW BS'!B38</f>
        <v xml:space="preserve">Net Fixed Assets </v>
      </c>
      <c r="C32" s="2"/>
      <c r="D32" s="2"/>
      <c r="E32" s="115">
        <f>SUM(E30:E31)</f>
        <v>12023</v>
      </c>
      <c r="F32" s="115">
        <f t="shared" ref="F32:I32" si="2">SUM(F30:F31)</f>
        <v>12599</v>
      </c>
      <c r="G32" s="115">
        <f t="shared" si="2"/>
        <v>13071</v>
      </c>
      <c r="H32" s="115">
        <f t="shared" si="2"/>
        <v>19359</v>
      </c>
      <c r="I32" s="115">
        <f t="shared" si="2"/>
        <v>21477</v>
      </c>
    </row>
    <row r="34" spans="2:13" x14ac:dyDescent="0.3">
      <c r="B34" s="2" t="s">
        <v>514</v>
      </c>
      <c r="C34" s="2"/>
      <c r="D34" s="2"/>
      <c r="E34" s="115">
        <f>SUM(E32,E18)</f>
        <v>16341</v>
      </c>
      <c r="F34" s="115">
        <f t="shared" ref="F34:I34" si="3">SUM(F32,F18)</f>
        <v>16662</v>
      </c>
      <c r="G34" s="115">
        <f t="shared" si="3"/>
        <v>17000</v>
      </c>
      <c r="H34" s="115">
        <f t="shared" si="3"/>
        <v>19853</v>
      </c>
      <c r="I34" s="115">
        <f t="shared" si="3"/>
        <v>22598</v>
      </c>
    </row>
    <row r="35" spans="2:13" x14ac:dyDescent="0.3">
      <c r="B35" s="2" t="s">
        <v>515</v>
      </c>
      <c r="E35" s="2">
        <f>Historical_FS!H24*(1-'WACC Model'!$F$13)</f>
        <v>1273.6800000000017</v>
      </c>
      <c r="F35" s="2">
        <f>Historical_FS!I24*(1-'WACC Model'!$F$13)</f>
        <v>1395.4500000000019</v>
      </c>
      <c r="G35" s="2">
        <f>Historical_FS!J24*(1-'WACC Model'!$F$13)</f>
        <v>1509.4874999999984</v>
      </c>
      <c r="H35" s="2">
        <f>Historical_FS!K24*(1-'WACC Model'!$F$13)</f>
        <v>1910.4900000000005</v>
      </c>
      <c r="I35" s="2">
        <f>Historical_FS!L24*(1-'WACC Model'!$F$13)</f>
        <v>2003.5799999999997</v>
      </c>
    </row>
    <row r="36" spans="2:13" x14ac:dyDescent="0.3">
      <c r="B36" s="2"/>
      <c r="E36" s="2"/>
      <c r="F36" s="2"/>
      <c r="G36" s="2"/>
      <c r="H36" s="2"/>
      <c r="I36" s="2"/>
    </row>
    <row r="37" spans="2:13" x14ac:dyDescent="0.3">
      <c r="B37" s="2" t="s">
        <v>516</v>
      </c>
      <c r="C37" s="2"/>
      <c r="D37" s="2"/>
      <c r="E37" s="116">
        <f>E35/E34</f>
        <v>7.7943822287497813E-2</v>
      </c>
      <c r="F37" s="116">
        <f t="shared" ref="F37:I37" si="4">F35/F34</f>
        <v>8.3750450126035408E-2</v>
      </c>
      <c r="G37" s="116">
        <f t="shared" si="4"/>
        <v>8.8793382352941083E-2</v>
      </c>
      <c r="H37" s="116">
        <f t="shared" si="4"/>
        <v>9.6231803757618514E-2</v>
      </c>
      <c r="I37" s="116">
        <f t="shared" si="4"/>
        <v>8.8661828480396485E-2</v>
      </c>
    </row>
    <row r="39" spans="2:13" x14ac:dyDescent="0.3">
      <c r="B39" s="9" t="s">
        <v>517</v>
      </c>
      <c r="C39" s="9"/>
      <c r="D39" s="9"/>
      <c r="E39" s="11">
        <f>E2</f>
        <v>44256</v>
      </c>
      <c r="F39" s="11">
        <f>F2</f>
        <v>44621</v>
      </c>
      <c r="G39" s="11">
        <f>G2</f>
        <v>44986</v>
      </c>
      <c r="H39" s="11">
        <f>H2</f>
        <v>45352</v>
      </c>
      <c r="I39" s="11">
        <f>I2</f>
        <v>45717</v>
      </c>
    </row>
    <row r="41" spans="2:13" x14ac:dyDescent="0.3">
      <c r="B41" t="s">
        <v>518</v>
      </c>
      <c r="E41" s="114">
        <f>-SUM('RAW CFS'!I12:I13)</f>
        <v>151</v>
      </c>
      <c r="F41" s="114">
        <f>-SUM('RAW CFS'!J12:J13)</f>
        <v>179</v>
      </c>
      <c r="G41" s="114">
        <f>-SUM('RAW CFS'!K12:K13)</f>
        <v>246</v>
      </c>
      <c r="H41" s="114">
        <f>-SUM('RAW CFS'!L12:L13)</f>
        <v>140</v>
      </c>
      <c r="I41" s="114">
        <f>-SUM('RAW CFS'!M12:M13)</f>
        <v>311</v>
      </c>
    </row>
    <row r="42" spans="2:13" x14ac:dyDescent="0.3">
      <c r="B42" t="s">
        <v>519</v>
      </c>
      <c r="E42" s="114"/>
      <c r="F42" s="114">
        <f>'RAW CFS'!I8</f>
        <v>-82</v>
      </c>
      <c r="G42" s="114">
        <f>'RAW CFS'!J8</f>
        <v>183</v>
      </c>
      <c r="H42" s="114">
        <f>'RAW CFS'!K8</f>
        <v>2</v>
      </c>
      <c r="I42" s="114">
        <f>'RAW CFS'!L8</f>
        <v>-25</v>
      </c>
      <c r="J42" s="117"/>
      <c r="K42" s="117"/>
      <c r="L42" s="117"/>
      <c r="M42" s="117"/>
    </row>
    <row r="43" spans="2:13" x14ac:dyDescent="0.3">
      <c r="E43" s="114"/>
      <c r="F43" s="114"/>
      <c r="G43" s="114"/>
      <c r="H43" s="114"/>
      <c r="I43" s="114"/>
    </row>
    <row r="44" spans="2:13" x14ac:dyDescent="0.3">
      <c r="B44" t="s">
        <v>515</v>
      </c>
      <c r="E44" s="114"/>
      <c r="F44" s="114">
        <f>F35</f>
        <v>1395.4500000000019</v>
      </c>
      <c r="G44" s="114">
        <f t="shared" ref="G44:I44" si="5">G35</f>
        <v>1509.4874999999984</v>
      </c>
      <c r="H44" s="114">
        <f t="shared" si="5"/>
        <v>1910.4900000000005</v>
      </c>
      <c r="I44" s="114">
        <f t="shared" si="5"/>
        <v>2003.5799999999997</v>
      </c>
    </row>
    <row r="45" spans="2:13" x14ac:dyDescent="0.3">
      <c r="E45" s="117"/>
    </row>
    <row r="46" spans="2:13" x14ac:dyDescent="0.3">
      <c r="B46" t="s">
        <v>520</v>
      </c>
      <c r="F46" s="114">
        <f>SUM(F41:F42)</f>
        <v>97</v>
      </c>
      <c r="G46" s="114">
        <f t="shared" ref="G46:I46" si="6">SUM(G41:G42)</f>
        <v>429</v>
      </c>
      <c r="H46" s="114">
        <f t="shared" si="6"/>
        <v>142</v>
      </c>
      <c r="I46" s="114">
        <f t="shared" si="6"/>
        <v>286</v>
      </c>
    </row>
    <row r="48" spans="2:13" x14ac:dyDescent="0.3">
      <c r="B48" t="s">
        <v>521</v>
      </c>
      <c r="F48" s="73">
        <f>F46/F44</f>
        <v>6.951162707370373E-2</v>
      </c>
      <c r="G48" s="73">
        <f t="shared" ref="G48:I48" si="7">G46/G44</f>
        <v>0.28420241969542676</v>
      </c>
      <c r="H48" s="73">
        <f t="shared" si="7"/>
        <v>7.432648168794391E-2</v>
      </c>
      <c r="I48" s="73">
        <f t="shared" si="7"/>
        <v>0.142744487367612</v>
      </c>
    </row>
    <row r="51" spans="2:9" x14ac:dyDescent="0.3">
      <c r="B51" s="9" t="s">
        <v>522</v>
      </c>
      <c r="C51" s="9"/>
      <c r="D51" s="9"/>
      <c r="E51" s="11">
        <f>E39</f>
        <v>44256</v>
      </c>
      <c r="F51" s="11">
        <f t="shared" ref="F51:I51" si="8">F39</f>
        <v>44621</v>
      </c>
      <c r="G51" s="11">
        <f t="shared" si="8"/>
        <v>44986</v>
      </c>
      <c r="H51" s="11">
        <f t="shared" si="8"/>
        <v>45352</v>
      </c>
      <c r="I51" s="11">
        <f t="shared" si="8"/>
        <v>45717</v>
      </c>
    </row>
    <row r="53" spans="2:9" x14ac:dyDescent="0.3">
      <c r="B53" t="s">
        <v>521</v>
      </c>
      <c r="F53" s="118">
        <f>F48</f>
        <v>6.951162707370373E-2</v>
      </c>
      <c r="G53" s="118">
        <f t="shared" ref="G53:I53" si="9">G48</f>
        <v>0.28420241969542676</v>
      </c>
      <c r="H53" s="118">
        <f t="shared" si="9"/>
        <v>7.432648168794391E-2</v>
      </c>
      <c r="I53" s="118">
        <f t="shared" si="9"/>
        <v>0.142744487367612</v>
      </c>
    </row>
    <row r="54" spans="2:9" x14ac:dyDescent="0.3">
      <c r="B54" t="s">
        <v>516</v>
      </c>
      <c r="F54" s="118">
        <f>F37</f>
        <v>8.3750450126035408E-2</v>
      </c>
      <c r="G54" s="118">
        <f t="shared" ref="G54:I54" si="10">G37</f>
        <v>8.8793382352941083E-2</v>
      </c>
      <c r="H54" s="118">
        <f t="shared" si="10"/>
        <v>9.6231803757618514E-2</v>
      </c>
      <c r="I54" s="118">
        <f t="shared" si="10"/>
        <v>8.8661828480396485E-2</v>
      </c>
    </row>
    <row r="56" spans="2:9" x14ac:dyDescent="0.3">
      <c r="B56" t="s">
        <v>523</v>
      </c>
      <c r="F56" s="118">
        <f>F53*F54</f>
        <v>5.8216300564157969E-3</v>
      </c>
      <c r="G56" s="118">
        <f t="shared" ref="G56:I56" si="11">G53*G54</f>
        <v>2.5235294117647061E-2</v>
      </c>
      <c r="H56" s="118">
        <f t="shared" si="11"/>
        <v>7.1525713997884445E-3</v>
      </c>
      <c r="I56" s="118">
        <f t="shared" si="11"/>
        <v>1.2655987255509338E-2</v>
      </c>
    </row>
    <row r="58" spans="2:9" x14ac:dyDescent="0.3">
      <c r="H58" t="s">
        <v>524</v>
      </c>
      <c r="I58" s="118">
        <f>AVERAGE(F56:I56)</f>
        <v>1.271637070734016E-2</v>
      </c>
    </row>
    <row r="59" spans="2:9" x14ac:dyDescent="0.3">
      <c r="H59" t="s">
        <v>525</v>
      </c>
      <c r="I59" s="118">
        <f>MEDIAN(F56:I56)</f>
        <v>9.9042793276488909E-3</v>
      </c>
    </row>
  </sheetData>
  <pageMargins left="0.7" right="0.7" top="0.75" bottom="0.75" header="0.3" footer="0.3"/>
  <ignoredErrors>
    <ignoredError sqref="E41:I41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9D2E-093A-4754-8FFC-5963BC5ED4F1}">
  <sheetPr>
    <tabColor rgb="FF002060"/>
  </sheetPr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6F8A-E2D1-4AD0-8897-99180F8D9D51}">
  <dimension ref="B2:P33"/>
  <sheetViews>
    <sheetView showGridLines="0" zoomScale="87" workbookViewId="0">
      <selection activeCell="F7" sqref="F7"/>
    </sheetView>
  </sheetViews>
  <sheetFormatPr defaultRowHeight="14.4" x14ac:dyDescent="0.3"/>
  <cols>
    <col min="1" max="1" width="1.88671875" customWidth="1"/>
    <col min="2" max="2" width="15.21875" bestFit="1" customWidth="1"/>
    <col min="3" max="3" width="5.88671875" bestFit="1" customWidth="1"/>
    <col min="4" max="4" width="10" bestFit="1" customWidth="1"/>
    <col min="5" max="5" width="13.44140625" customWidth="1"/>
    <col min="6" max="6" width="9.5546875" bestFit="1" customWidth="1"/>
    <col min="7" max="7" width="8.33203125" bestFit="1" customWidth="1"/>
    <col min="8" max="8" width="15" bestFit="1" customWidth="1"/>
    <col min="14" max="14" width="17.6640625" bestFit="1" customWidth="1"/>
    <col min="15" max="15" width="10.33203125" bestFit="1" customWidth="1"/>
    <col min="16" max="16" width="9.109375" bestFit="1" customWidth="1"/>
  </cols>
  <sheetData>
    <row r="2" spans="2:16" x14ac:dyDescent="0.3">
      <c r="B2" s="151" t="s">
        <v>556</v>
      </c>
      <c r="C2" s="152"/>
      <c r="D2" s="152"/>
      <c r="E2" s="152"/>
      <c r="F2" s="152"/>
      <c r="G2" s="152"/>
      <c r="H2" s="152"/>
      <c r="I2" s="152"/>
      <c r="J2" s="152"/>
      <c r="K2" s="152"/>
    </row>
    <row r="3" spans="2:16" ht="4.2" customHeight="1" x14ac:dyDescent="0.3"/>
    <row r="4" spans="2:16" x14ac:dyDescent="0.3">
      <c r="B4" s="9"/>
      <c r="C4" s="192" t="s">
        <v>564</v>
      </c>
      <c r="D4" s="192"/>
      <c r="E4" s="192"/>
      <c r="F4" s="192"/>
      <c r="G4" s="192"/>
      <c r="H4" s="192"/>
      <c r="I4" s="9"/>
      <c r="J4" s="192" t="s">
        <v>567</v>
      </c>
      <c r="K4" s="192"/>
      <c r="L4" s="192"/>
      <c r="M4" s="9"/>
      <c r="N4" s="192" t="s">
        <v>566</v>
      </c>
      <c r="O4" s="192"/>
      <c r="P4" s="192"/>
    </row>
    <row r="5" spans="2:16" ht="28.8" x14ac:dyDescent="0.3">
      <c r="B5" s="9" t="s">
        <v>557</v>
      </c>
      <c r="C5" s="9" t="s">
        <v>558</v>
      </c>
      <c r="D5" s="9" t="s">
        <v>559</v>
      </c>
      <c r="E5" s="153" t="s">
        <v>560</v>
      </c>
      <c r="F5" s="153" t="s">
        <v>561</v>
      </c>
      <c r="G5" s="9" t="s">
        <v>562</v>
      </c>
      <c r="H5" s="153" t="s">
        <v>563</v>
      </c>
      <c r="I5" s="9"/>
      <c r="J5" s="9" t="s">
        <v>528</v>
      </c>
      <c r="K5" s="9" t="s">
        <v>67</v>
      </c>
      <c r="L5" s="9" t="s">
        <v>565</v>
      </c>
      <c r="M5" s="9"/>
      <c r="N5" s="9" t="s">
        <v>588</v>
      </c>
      <c r="O5" s="9" t="s">
        <v>587</v>
      </c>
      <c r="P5" s="9" t="s">
        <v>158</v>
      </c>
    </row>
    <row r="6" spans="2:16" ht="4.2" customHeight="1" x14ac:dyDescent="0.3"/>
    <row r="7" spans="2:16" x14ac:dyDescent="0.3">
      <c r="B7" s="164" t="s">
        <v>154</v>
      </c>
      <c r="C7" s="164"/>
      <c r="D7" s="165">
        <f>PeerComps!D6</f>
        <v>1100.2</v>
      </c>
      <c r="E7" s="165">
        <f>PeerComps!E6</f>
        <v>98.95</v>
      </c>
      <c r="F7" s="165">
        <f>PeerComps!F6</f>
        <v>108864.79000000001</v>
      </c>
      <c r="G7" s="165">
        <f>PeerComps!G6-PeerComps!I6</f>
        <v>-425.18000000000029</v>
      </c>
      <c r="H7" s="165">
        <f>F7+G7</f>
        <v>108439.61000000002</v>
      </c>
      <c r="I7" s="165"/>
      <c r="J7" s="165">
        <f>PeerComps!J6</f>
        <v>17618.3</v>
      </c>
      <c r="K7" s="165">
        <f>PeerComps!N6</f>
        <v>2648.0979242979242</v>
      </c>
      <c r="L7" s="165">
        <f>PeerComps!K6</f>
        <v>1287.0999999999999</v>
      </c>
      <c r="M7" s="164"/>
      <c r="N7" s="166">
        <f>H7/J7</f>
        <v>6.1549417367169372</v>
      </c>
      <c r="O7" s="166">
        <f>H7/K7</f>
        <v>40.95000000000001</v>
      </c>
      <c r="P7" s="166">
        <f>F7/L7</f>
        <v>84.581454432445042</v>
      </c>
    </row>
    <row r="8" spans="2:16" x14ac:dyDescent="0.3">
      <c r="B8" s="167" t="s">
        <v>151</v>
      </c>
      <c r="C8" s="167"/>
      <c r="D8" s="168">
        <f>PeerComps!D3</f>
        <v>459.6</v>
      </c>
      <c r="E8" s="168">
        <f>PeerComps!E3</f>
        <v>338.19</v>
      </c>
      <c r="F8" s="168">
        <f>PeerComps!F3</f>
        <v>155432.12400000001</v>
      </c>
      <c r="G8" s="168">
        <f>PeerComps!G3-PeerComps!I3</f>
        <v>376.19999999999982</v>
      </c>
      <c r="H8" s="168">
        <f>F8+G8</f>
        <v>155808.32400000002</v>
      </c>
      <c r="I8" s="168"/>
      <c r="J8" s="168">
        <f>PeerComps!J3</f>
        <v>21257.27</v>
      </c>
      <c r="K8" s="168">
        <f>PeerComps!N3</f>
        <v>5125.2738157894737</v>
      </c>
      <c r="L8" s="168">
        <f>PeerComps!K3</f>
        <v>2634.28</v>
      </c>
      <c r="M8" s="167"/>
      <c r="N8" s="169">
        <f t="shared" ref="N8:N16" si="0">H8/J8</f>
        <v>7.3296488213208946</v>
      </c>
      <c r="O8" s="169">
        <f t="shared" ref="O8:O16" si="1">H8/K8</f>
        <v>30.400000000000006</v>
      </c>
      <c r="P8" s="169">
        <f t="shared" ref="P8:P16" si="2">F8/L8</f>
        <v>59.003645777973489</v>
      </c>
    </row>
    <row r="9" spans="2:16" x14ac:dyDescent="0.3">
      <c r="B9" s="167" t="s">
        <v>152</v>
      </c>
      <c r="C9" s="167"/>
      <c r="D9" s="168">
        <f>PeerComps!D4</f>
        <v>5587</v>
      </c>
      <c r="E9" s="168">
        <f>PeerComps!E4</f>
        <v>24.09</v>
      </c>
      <c r="F9" s="168">
        <f>PeerComps!F4</f>
        <v>134590.82999999999</v>
      </c>
      <c r="G9" s="168">
        <f>PeerComps!G4-PeerComps!I4</f>
        <v>934.03</v>
      </c>
      <c r="H9" s="168">
        <f>F9+G9</f>
        <v>135524.85999999999</v>
      </c>
      <c r="I9" s="168"/>
      <c r="J9" s="168">
        <f>PeerComps!J4</f>
        <v>17942.669999999998</v>
      </c>
      <c r="K9" s="168">
        <f>PeerComps!N4</f>
        <v>3404.2918864606877</v>
      </c>
      <c r="L9" s="168">
        <f>PeerComps!K4</f>
        <v>2177.86</v>
      </c>
      <c r="M9" s="167"/>
      <c r="N9" s="169">
        <f t="shared" si="0"/>
        <v>7.5532158814713748</v>
      </c>
      <c r="O9" s="169">
        <f t="shared" si="1"/>
        <v>39.81</v>
      </c>
      <c r="P9" s="169">
        <f t="shared" si="2"/>
        <v>61.799578485302078</v>
      </c>
    </row>
    <row r="10" spans="2:16" x14ac:dyDescent="0.3">
      <c r="B10" s="167" t="s">
        <v>153</v>
      </c>
      <c r="C10" s="167"/>
      <c r="D10" s="168">
        <f>PeerComps!D5</f>
        <v>1189.4000000000001</v>
      </c>
      <c r="E10" s="168">
        <f>PeerComps!E5</f>
        <v>102.3</v>
      </c>
      <c r="F10" s="168">
        <f>PeerComps!F5</f>
        <v>121675.62000000001</v>
      </c>
      <c r="G10" s="168">
        <f>PeerComps!G5-PeerComps!I5</f>
        <v>3521.43</v>
      </c>
      <c r="H10" s="168">
        <f>F10+G10</f>
        <v>125197.05</v>
      </c>
      <c r="I10" s="168"/>
      <c r="J10" s="168">
        <f>PeerComps!J5</f>
        <v>14364.29</v>
      </c>
      <c r="K10" s="168">
        <f>PeerComps!N5</f>
        <v>3319.1158536585372</v>
      </c>
      <c r="L10" s="168">
        <f>PeerComps!K5</f>
        <v>1852.3</v>
      </c>
      <c r="M10" s="167"/>
      <c r="N10" s="169">
        <f t="shared" si="0"/>
        <v>8.7158536899491725</v>
      </c>
      <c r="O10" s="169">
        <f t="shared" si="1"/>
        <v>37.719999999999992</v>
      </c>
      <c r="P10" s="169">
        <f t="shared" si="2"/>
        <v>65.68893807698538</v>
      </c>
    </row>
    <row r="11" spans="2:16" x14ac:dyDescent="0.3">
      <c r="B11" s="167" t="s">
        <v>575</v>
      </c>
      <c r="C11" s="167"/>
      <c r="D11" s="168">
        <f>PeerComps!D7</f>
        <v>1458.9</v>
      </c>
      <c r="E11" s="168">
        <f>PeerComps!E7</f>
        <v>72.739999999999995</v>
      </c>
      <c r="F11" s="168">
        <f>PeerComps!F7</f>
        <v>106120.386</v>
      </c>
      <c r="G11" s="168">
        <f>PeerComps!G7-PeerComps!I7</f>
        <v>-1550</v>
      </c>
      <c r="H11" s="168">
        <f t="shared" ref="H11:H16" si="3">F11+G11</f>
        <v>104570.386</v>
      </c>
      <c r="I11" s="168"/>
      <c r="J11" s="168">
        <f>PeerComps!J7</f>
        <v>12069</v>
      </c>
      <c r="K11" s="168">
        <f>PeerComps!N7</f>
        <v>2572.4572201722017</v>
      </c>
      <c r="L11" s="168">
        <f>PeerComps!K7</f>
        <v>1582</v>
      </c>
      <c r="M11" s="167"/>
      <c r="N11" s="169">
        <f t="shared" si="0"/>
        <v>8.6643786560609826</v>
      </c>
      <c r="O11" s="169">
        <f t="shared" si="1"/>
        <v>40.65</v>
      </c>
      <c r="P11" s="169">
        <f t="shared" si="2"/>
        <v>67.079890012642224</v>
      </c>
    </row>
    <row r="12" spans="2:16" x14ac:dyDescent="0.3">
      <c r="B12" s="167" t="s">
        <v>576</v>
      </c>
      <c r="C12" s="167"/>
      <c r="D12" s="168">
        <f>PeerComps!D8</f>
        <v>693.3</v>
      </c>
      <c r="E12" s="168">
        <f>PeerComps!E8</f>
        <v>129.6</v>
      </c>
      <c r="F12" s="168">
        <f>PeerComps!F8</f>
        <v>89851.68</v>
      </c>
      <c r="G12" s="168">
        <f>PeerComps!G8-PeerComps!I8</f>
        <v>-223</v>
      </c>
      <c r="H12" s="168">
        <f t="shared" si="3"/>
        <v>89628.68</v>
      </c>
      <c r="I12" s="168"/>
      <c r="J12" s="168">
        <f>PeerComps!J8</f>
        <v>10831</v>
      </c>
      <c r="K12" s="168">
        <f>PeerComps!N8</f>
        <v>2346.9148991882689</v>
      </c>
      <c r="L12" s="168">
        <f>PeerComps!K8</f>
        <v>1658</v>
      </c>
      <c r="M12" s="167"/>
      <c r="N12" s="169">
        <f t="shared" si="0"/>
        <v>8.2751989659311231</v>
      </c>
      <c r="O12" s="169">
        <f t="shared" si="1"/>
        <v>38.190000000000005</v>
      </c>
      <c r="P12" s="169">
        <f t="shared" si="2"/>
        <v>54.192810615199029</v>
      </c>
    </row>
    <row r="13" spans="2:16" x14ac:dyDescent="0.3">
      <c r="B13" s="167" t="s">
        <v>577</v>
      </c>
      <c r="C13" s="167"/>
      <c r="D13" s="168">
        <f>PeerComps!D9</f>
        <v>466.9</v>
      </c>
      <c r="E13" s="168">
        <f>PeerComps!E9</f>
        <v>177.37</v>
      </c>
      <c r="F13" s="168">
        <f>PeerComps!F9</f>
        <v>82814.053</v>
      </c>
      <c r="G13" s="168">
        <f>PeerComps!G9-PeerComps!I9</f>
        <v>372.36</v>
      </c>
      <c r="H13" s="168">
        <f t="shared" si="3"/>
        <v>83186.413</v>
      </c>
      <c r="I13" s="168"/>
      <c r="J13" s="168">
        <f>PeerComps!J9</f>
        <v>12563.09</v>
      </c>
      <c r="K13" s="168">
        <f>PeerComps!N9</f>
        <v>2866.520089593384</v>
      </c>
      <c r="L13" s="168">
        <f>PeerComps!K9</f>
        <v>1740.42</v>
      </c>
      <c r="M13" s="167"/>
      <c r="N13" s="169">
        <f t="shared" si="0"/>
        <v>6.6214930403268619</v>
      </c>
      <c r="O13" s="169">
        <f t="shared" si="1"/>
        <v>29.02</v>
      </c>
      <c r="P13" s="169">
        <f t="shared" si="2"/>
        <v>47.582797830408751</v>
      </c>
    </row>
    <row r="14" spans="2:16" x14ac:dyDescent="0.3">
      <c r="B14" s="167" t="s">
        <v>578</v>
      </c>
      <c r="C14" s="167"/>
      <c r="D14" s="168">
        <f>PeerComps!D10</f>
        <v>2402.3000000000002</v>
      </c>
      <c r="E14" s="168">
        <f>PeerComps!E10</f>
        <v>27.2</v>
      </c>
      <c r="F14" s="168">
        <f>PeerComps!F10</f>
        <v>65342.560000000005</v>
      </c>
      <c r="G14" s="168">
        <f>PeerComps!G10-PeerComps!I10</f>
        <v>-1034.2900000000002</v>
      </c>
      <c r="H14" s="168">
        <f t="shared" si="3"/>
        <v>64308.270000000004</v>
      </c>
      <c r="I14" s="168"/>
      <c r="J14" s="168">
        <f>PeerComps!J10</f>
        <v>6040.17</v>
      </c>
      <c r="K14" s="168">
        <f>PeerComps!N10</f>
        <v>2096.7808933811543</v>
      </c>
      <c r="L14" s="168">
        <f>PeerComps!K10</f>
        <v>1436.81</v>
      </c>
      <c r="M14" s="167"/>
      <c r="N14" s="169">
        <f t="shared" si="0"/>
        <v>10.646764908934683</v>
      </c>
      <c r="O14" s="169">
        <f t="shared" si="1"/>
        <v>30.67</v>
      </c>
      <c r="P14" s="169">
        <f t="shared" si="2"/>
        <v>45.477523124143069</v>
      </c>
    </row>
    <row r="15" spans="2:16" x14ac:dyDescent="0.3">
      <c r="B15" s="167" t="s">
        <v>579</v>
      </c>
      <c r="C15" s="167"/>
      <c r="D15" s="168">
        <f>PeerComps!D11</f>
        <v>1649.6</v>
      </c>
      <c r="E15" s="168">
        <f>PeerComps!E11</f>
        <v>36.25</v>
      </c>
      <c r="F15" s="168">
        <f>PeerComps!F11</f>
        <v>59798</v>
      </c>
      <c r="G15" s="168">
        <f>PeerComps!G11-PeerComps!I11</f>
        <v>512.37999999999988</v>
      </c>
      <c r="H15" s="168">
        <f t="shared" si="3"/>
        <v>60310.38</v>
      </c>
      <c r="I15" s="168"/>
      <c r="J15" s="168">
        <f>PeerComps!J11</f>
        <v>34156.97</v>
      </c>
      <c r="K15" s="168">
        <f>PeerComps!N11</f>
        <v>2078.9513960703202</v>
      </c>
      <c r="L15" s="168">
        <f>PeerComps!K11</f>
        <v>1301.3399999999999</v>
      </c>
      <c r="M15" s="167"/>
      <c r="N15" s="169">
        <f t="shared" si="0"/>
        <v>1.7656829630965509</v>
      </c>
      <c r="O15" s="169">
        <f t="shared" si="1"/>
        <v>29.010000000000005</v>
      </c>
      <c r="P15" s="169">
        <f t="shared" si="2"/>
        <v>45.951096562005318</v>
      </c>
    </row>
    <row r="16" spans="2:16" x14ac:dyDescent="0.3">
      <c r="B16" s="167" t="s">
        <v>580</v>
      </c>
      <c r="C16" s="167"/>
      <c r="D16" s="168">
        <f>PeerComps!D12</f>
        <v>1943.7</v>
      </c>
      <c r="E16" s="168">
        <f>PeerComps!E12</f>
        <v>26.44</v>
      </c>
      <c r="F16" s="168">
        <f>PeerComps!F12</f>
        <v>51391.428000000007</v>
      </c>
      <c r="G16" s="168">
        <f>PeerComps!G12-PeerComps!I12</f>
        <v>177.10000000000002</v>
      </c>
      <c r="H16" s="168">
        <f t="shared" si="3"/>
        <v>51568.528000000006</v>
      </c>
      <c r="I16" s="168"/>
      <c r="J16" s="168">
        <f>PeerComps!J12</f>
        <v>8915.09</v>
      </c>
      <c r="K16" s="168">
        <f>PeerComps!N12</f>
        <v>876.71757905474351</v>
      </c>
      <c r="L16" s="168">
        <f>PeerComps!K12</f>
        <v>442.41</v>
      </c>
      <c r="M16" s="167"/>
      <c r="N16" s="169">
        <f t="shared" si="0"/>
        <v>5.7844091310351331</v>
      </c>
      <c r="O16" s="169">
        <f t="shared" si="1"/>
        <v>58.819999999999993</v>
      </c>
      <c r="P16" s="169">
        <f t="shared" si="2"/>
        <v>116.16244659930834</v>
      </c>
    </row>
    <row r="18" spans="2:16" x14ac:dyDescent="0.3">
      <c r="B18" s="170" t="s">
        <v>198</v>
      </c>
      <c r="C18" s="170"/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1">
        <f>MAX(N7:N16)</f>
        <v>10.646764908934683</v>
      </c>
      <c r="O18" s="171">
        <f t="shared" ref="O18:P18" si="4">MAX(O7:O16)</f>
        <v>58.819999999999993</v>
      </c>
      <c r="P18" s="171">
        <f t="shared" si="4"/>
        <v>116.16244659930834</v>
      </c>
    </row>
    <row r="19" spans="2:16" x14ac:dyDescent="0.3">
      <c r="B19" s="170" t="s">
        <v>589</v>
      </c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1">
        <f>QUARTILE(N7:N16,3)</f>
        <v>8.5670837335285182</v>
      </c>
      <c r="O19" s="171">
        <f t="shared" ref="O19:P19" si="5">QUARTILE(O7:O16,3)</f>
        <v>40.44</v>
      </c>
      <c r="P19" s="171">
        <f t="shared" si="5"/>
        <v>66.732152028728009</v>
      </c>
    </row>
    <row r="20" spans="2:16" x14ac:dyDescent="0.3">
      <c r="B20" s="172" t="s">
        <v>178</v>
      </c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3">
        <f>AVERAGE(N7:N16)</f>
        <v>7.1511587794843718</v>
      </c>
      <c r="O20" s="173">
        <f t="shared" ref="O20:P20" si="6">AVERAGE(O7:O16)</f>
        <v>37.524000000000001</v>
      </c>
      <c r="P20" s="173">
        <f t="shared" si="6"/>
        <v>64.75201815164128</v>
      </c>
    </row>
    <row r="21" spans="2:16" x14ac:dyDescent="0.3">
      <c r="B21" s="172" t="s">
        <v>149</v>
      </c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3">
        <f>MEDIAN(N7:N16)</f>
        <v>7.4414323513961342</v>
      </c>
      <c r="O21" s="173">
        <f t="shared" ref="O21:P21" si="7">MEDIAN(O7:O16)</f>
        <v>37.954999999999998</v>
      </c>
      <c r="P21" s="173">
        <f t="shared" si="7"/>
        <v>60.401612131637783</v>
      </c>
    </row>
    <row r="22" spans="2:16" x14ac:dyDescent="0.3">
      <c r="B22" s="170" t="s">
        <v>590</v>
      </c>
      <c r="C22" s="170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1">
        <f>QUARTILE(N7:N16,1)</f>
        <v>6.2715795626194186</v>
      </c>
      <c r="O22" s="171">
        <f t="shared" ref="O22:P22" si="8">QUARTILE(O7:O16,1)</f>
        <v>30.467500000000005</v>
      </c>
      <c r="P22" s="171">
        <f t="shared" si="8"/>
        <v>49.235301026606322</v>
      </c>
    </row>
    <row r="23" spans="2:16" x14ac:dyDescent="0.3">
      <c r="B23" s="170" t="s">
        <v>199</v>
      </c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1">
        <f>MIN(N7:N16)</f>
        <v>1.7656829630965509</v>
      </c>
      <c r="O23" s="171">
        <f t="shared" ref="O23:P23" si="9">MIN(O7:O16)</f>
        <v>29.010000000000005</v>
      </c>
      <c r="P23" s="171">
        <f t="shared" si="9"/>
        <v>45.477523124143069</v>
      </c>
    </row>
    <row r="25" spans="2:16" x14ac:dyDescent="0.3">
      <c r="B25" s="9" t="s">
        <v>591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 t="s">
        <v>588</v>
      </c>
      <c r="O25" s="9" t="s">
        <v>587</v>
      </c>
      <c r="P25" s="9" t="s">
        <v>158</v>
      </c>
    </row>
    <row r="27" spans="2:16" x14ac:dyDescent="0.3">
      <c r="B27" s="167" t="s">
        <v>592</v>
      </c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8">
        <f>N21*J7</f>
        <v>131105.38759660249</v>
      </c>
      <c r="O27" s="168">
        <f>O21*K7</f>
        <v>100508.5567167277</v>
      </c>
      <c r="P27" s="168">
        <f>P29-P28</f>
        <v>78168.094974630978</v>
      </c>
    </row>
    <row r="28" spans="2:16" x14ac:dyDescent="0.3">
      <c r="B28" s="167" t="s">
        <v>562</v>
      </c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8">
        <f>$G$7</f>
        <v>-425.18000000000029</v>
      </c>
      <c r="O28" s="168">
        <f t="shared" ref="O28:P28" si="10">$G$7</f>
        <v>-425.18000000000029</v>
      </c>
      <c r="P28" s="168">
        <f t="shared" si="10"/>
        <v>-425.18000000000029</v>
      </c>
    </row>
    <row r="29" spans="2:16" x14ac:dyDescent="0.3">
      <c r="B29" s="167" t="s">
        <v>593</v>
      </c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8">
        <f>N27+N28</f>
        <v>130680.2075966025</v>
      </c>
      <c r="O29" s="168">
        <f t="shared" ref="O29" si="11">O27+O28</f>
        <v>100083.37671672771</v>
      </c>
      <c r="P29" s="168">
        <f>P21*L7</f>
        <v>77742.914974630985</v>
      </c>
    </row>
    <row r="30" spans="2:16" ht="15" thickBot="1" x14ac:dyDescent="0.35">
      <c r="B30" s="174" t="s">
        <v>594</v>
      </c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5">
        <f>$E$7</f>
        <v>98.95</v>
      </c>
      <c r="O30" s="175">
        <f t="shared" ref="O30:P30" si="12">$E$7</f>
        <v>98.95</v>
      </c>
      <c r="P30" s="175">
        <f t="shared" si="12"/>
        <v>98.95</v>
      </c>
    </row>
    <row r="31" spans="2:16" ht="15" thickBot="1" x14ac:dyDescent="0.35">
      <c r="B31" s="176" t="s">
        <v>595</v>
      </c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7">
        <f>N29/N30</f>
        <v>1320.6691015321121</v>
      </c>
      <c r="O31" s="177">
        <f t="shared" ref="O31:P31" si="13">O29/O30</f>
        <v>1011.4540345298404</v>
      </c>
      <c r="P31" s="177">
        <f t="shared" si="13"/>
        <v>785.67877690379976</v>
      </c>
    </row>
    <row r="32" spans="2:16" ht="6.6" customHeight="1" thickTop="1" x14ac:dyDescent="0.3"/>
    <row r="33" spans="2:2" x14ac:dyDescent="0.3">
      <c r="B33" s="69" t="s">
        <v>596</v>
      </c>
    </row>
  </sheetData>
  <mergeCells count="3">
    <mergeCell ref="C4:H4"/>
    <mergeCell ref="J4:L4"/>
    <mergeCell ref="N4:P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2DA0-A09B-4169-ADDC-601CED954564}">
  <sheetPr>
    <tabColor rgb="FF002060"/>
  </sheetPr>
  <dimension ref="B2"/>
  <sheetViews>
    <sheetView showGridLines="0" topLeftCell="A129" workbookViewId="0">
      <selection activeCell="A33" sqref="A33"/>
    </sheetView>
  </sheetViews>
  <sheetFormatPr defaultRowHeight="14.4" x14ac:dyDescent="0.3"/>
  <cols>
    <col min="1" max="1" width="1.88671875" customWidth="1"/>
  </cols>
  <sheetData>
    <row r="2" spans="2:2" x14ac:dyDescent="0.3">
      <c r="B2" t="s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A0BB-53F2-4BCA-B712-63CB11657D7E}">
  <sheetPr>
    <pageSetUpPr autoPageBreaks="0"/>
  </sheetPr>
  <dimension ref="A2:J43"/>
  <sheetViews>
    <sheetView showGridLines="0" zoomScale="83" workbookViewId="0">
      <selection activeCell="M9" sqref="M9"/>
    </sheetView>
  </sheetViews>
  <sheetFormatPr defaultRowHeight="14.4" x14ac:dyDescent="0.3"/>
  <cols>
    <col min="1" max="1" width="1.88671875" customWidth="1"/>
    <col min="2" max="2" width="26.5546875" customWidth="1"/>
    <col min="4" max="4" width="8.5546875" bestFit="1" customWidth="1"/>
    <col min="5" max="5" width="10" bestFit="1" customWidth="1"/>
    <col min="6" max="6" width="12.6640625" customWidth="1"/>
    <col min="10" max="10" width="12.5546875" customWidth="1"/>
  </cols>
  <sheetData>
    <row r="2" spans="1:10" x14ac:dyDescent="0.3">
      <c r="B2" s="2" t="s">
        <v>596</v>
      </c>
    </row>
    <row r="4" spans="1:10" x14ac:dyDescent="0.3">
      <c r="A4" t="s">
        <v>59</v>
      </c>
      <c r="B4" s="9" t="str">
        <f>"Weighted Average Cost of Capital - "&amp;'Data Sheet'!$B$1</f>
        <v>Weighted Average Cost of Capital - TATA CONSUMER PRODUCTS LTD</v>
      </c>
      <c r="C4" s="10"/>
      <c r="D4" s="10"/>
      <c r="E4" s="10"/>
      <c r="F4" s="10"/>
      <c r="G4" s="10"/>
      <c r="H4" s="10"/>
      <c r="I4" s="10"/>
      <c r="J4" s="10"/>
    </row>
    <row r="6" spans="1:10" x14ac:dyDescent="0.3">
      <c r="B6" s="69" t="s">
        <v>164</v>
      </c>
    </row>
    <row r="8" spans="1:10" x14ac:dyDescent="0.3">
      <c r="B8" s="2" t="s">
        <v>165</v>
      </c>
    </row>
    <row r="9" spans="1:10" ht="30.6" x14ac:dyDescent="0.3">
      <c r="B9" s="90" t="s">
        <v>156</v>
      </c>
      <c r="C9" s="90" t="s">
        <v>166</v>
      </c>
      <c r="D9" s="90" t="s">
        <v>167</v>
      </c>
      <c r="E9" s="90" t="s">
        <v>168</v>
      </c>
      <c r="F9" s="90" t="s">
        <v>173</v>
      </c>
      <c r="G9" s="90" t="s">
        <v>174</v>
      </c>
      <c r="H9" s="90" t="s">
        <v>172</v>
      </c>
      <c r="I9" s="90" t="s">
        <v>175</v>
      </c>
      <c r="J9" s="90" t="s">
        <v>176</v>
      </c>
    </row>
    <row r="10" spans="1:10" x14ac:dyDescent="0.3">
      <c r="B10" t="str">
        <f>'WACC Data'!C2</f>
        <v>Varun Beverages</v>
      </c>
      <c r="C10" s="70" t="s">
        <v>177</v>
      </c>
      <c r="D10">
        <f>'WACC Data'!H2</f>
        <v>2826.25</v>
      </c>
      <c r="E10">
        <f>'WACC Data'!F2</f>
        <v>155568.17000000001</v>
      </c>
      <c r="F10" s="71">
        <v>0.25</v>
      </c>
      <c r="G10" s="41">
        <f>D10/E10</f>
        <v>1.8167276763620732E-2</v>
      </c>
      <c r="H10" s="41">
        <f>D10/(D10+E10)</f>
        <v>1.7843115938048826E-2</v>
      </c>
      <c r="I10" s="72">
        <f>'WACC Data'!I2</f>
        <v>0.89700000000000002</v>
      </c>
      <c r="J10" s="72">
        <f>I10/(1+(G10*(1-F10)))</f>
        <v>0.88494225682532346</v>
      </c>
    </row>
    <row r="11" spans="1:10" x14ac:dyDescent="0.3">
      <c r="B11" t="str">
        <f>'WACC Data'!C3</f>
        <v>Britannia Inds.</v>
      </c>
      <c r="C11" s="70" t="s">
        <v>177</v>
      </c>
      <c r="D11">
        <f>'WACC Data'!H3</f>
        <v>1246.51</v>
      </c>
      <c r="E11">
        <f>'WACC Data'!F3</f>
        <v>134500.87</v>
      </c>
      <c r="F11" s="71">
        <v>0.25</v>
      </c>
      <c r="G11" s="41">
        <f t="shared" ref="G11:G13" si="0">D11/E11</f>
        <v>9.2676723949815347E-3</v>
      </c>
      <c r="H11" s="41">
        <f t="shared" ref="H11:H13" si="1">D11/(D11+E11)</f>
        <v>9.1825713321317878E-3</v>
      </c>
      <c r="I11" s="72">
        <f>'WACC Data'!I3</f>
        <v>0.39500000000000002</v>
      </c>
      <c r="J11" s="72">
        <f t="shared" ref="J11:J13" si="2">I11/(1+(G11*(1-F11)))</f>
        <v>0.39227340395218024</v>
      </c>
    </row>
    <row r="12" spans="1:10" x14ac:dyDescent="0.3">
      <c r="B12" t="str">
        <f>'WACC Data'!C4</f>
        <v>Godrej Consumer</v>
      </c>
      <c r="C12" s="70" t="s">
        <v>177</v>
      </c>
      <c r="D12">
        <f>'WACC Data'!H4</f>
        <v>4004.49</v>
      </c>
      <c r="E12">
        <f>'WACC Data'!F4</f>
        <v>121226.48</v>
      </c>
      <c r="F12" s="71">
        <v>0.25</v>
      </c>
      <c r="G12" s="41">
        <f t="shared" si="0"/>
        <v>3.3033129395491807E-2</v>
      </c>
      <c r="H12" s="41">
        <f t="shared" si="1"/>
        <v>3.1976834484313266E-2</v>
      </c>
      <c r="I12" s="72">
        <f>'WACC Data'!I4</f>
        <v>0.58099999999999996</v>
      </c>
      <c r="J12" s="72">
        <f t="shared" si="2"/>
        <v>0.56695380616964852</v>
      </c>
    </row>
    <row r="13" spans="1:10" x14ac:dyDescent="0.3">
      <c r="B13" s="74" t="str">
        <f>'WACC Data'!C5</f>
        <v>Tata Consumer</v>
      </c>
      <c r="C13" s="75" t="s">
        <v>177</v>
      </c>
      <c r="D13" s="74">
        <f>'WACC Data'!H5</f>
        <v>2392.6799999999998</v>
      </c>
      <c r="E13" s="74">
        <f>'WACC Data'!F5</f>
        <v>108005.15</v>
      </c>
      <c r="F13" s="76">
        <v>0.25</v>
      </c>
      <c r="G13" s="83">
        <f t="shared" si="0"/>
        <v>2.2153388056032512E-2</v>
      </c>
      <c r="H13" s="83">
        <f t="shared" si="1"/>
        <v>2.167325209200217E-2</v>
      </c>
      <c r="I13" s="77">
        <f>Beta!K7</f>
        <v>0.89051408945473765</v>
      </c>
      <c r="J13" s="77">
        <f t="shared" si="2"/>
        <v>0.87595997846143014</v>
      </c>
    </row>
    <row r="15" spans="1:10" x14ac:dyDescent="0.3">
      <c r="F15" s="91" t="s">
        <v>178</v>
      </c>
      <c r="G15" s="92">
        <f>AVERAGE(G10:G13)</f>
        <v>2.0655366652531645E-2</v>
      </c>
      <c r="H15" s="92">
        <f t="shared" ref="H15:J15" si="3">AVERAGE(H10:H13)</f>
        <v>2.0168943461624012E-2</v>
      </c>
      <c r="I15" s="93">
        <f t="shared" si="3"/>
        <v>0.69087852236368441</v>
      </c>
      <c r="J15" s="93">
        <f t="shared" si="3"/>
        <v>0.68003236135214562</v>
      </c>
    </row>
    <row r="16" spans="1:10" x14ac:dyDescent="0.3">
      <c r="F16" s="94" t="s">
        <v>149</v>
      </c>
      <c r="G16" s="95">
        <f>MEDIAN(G10:G13)</f>
        <v>2.016033240982662E-2</v>
      </c>
      <c r="H16" s="95">
        <f t="shared" ref="H16:J16" si="4">MEDIAN(H10:H13)</f>
        <v>1.97581840150255E-2</v>
      </c>
      <c r="I16" s="96">
        <f t="shared" si="4"/>
        <v>0.7357570447273688</v>
      </c>
      <c r="J16" s="96">
        <f t="shared" si="4"/>
        <v>0.72145689231553933</v>
      </c>
    </row>
    <row r="19" spans="2:10" x14ac:dyDescent="0.3">
      <c r="B19" s="52" t="s">
        <v>179</v>
      </c>
      <c r="C19" s="42"/>
      <c r="D19" s="42"/>
      <c r="E19" s="42"/>
      <c r="G19" s="52" t="s">
        <v>182</v>
      </c>
      <c r="H19" s="42"/>
      <c r="I19" s="42"/>
      <c r="J19" s="42"/>
    </row>
    <row r="21" spans="2:10" x14ac:dyDescent="0.3">
      <c r="B21" t="s">
        <v>180</v>
      </c>
      <c r="E21" s="41">
        <f>Historical_FS!L27/Historical_FS!L52</f>
        <v>0.12128659076851063</v>
      </c>
      <c r="G21" t="s">
        <v>183</v>
      </c>
      <c r="J21" s="84">
        <v>6.3189999999999996E-2</v>
      </c>
    </row>
    <row r="22" spans="2:10" ht="16.2" customHeight="1" x14ac:dyDescent="0.3">
      <c r="B22" t="s">
        <v>169</v>
      </c>
      <c r="E22" s="41">
        <f>F13</f>
        <v>0.25</v>
      </c>
      <c r="G22" t="s">
        <v>184</v>
      </c>
      <c r="J22" s="41">
        <f>RM!G8-'WACC Model'!J21</f>
        <v>0.10305799999999998</v>
      </c>
    </row>
    <row r="23" spans="2:10" x14ac:dyDescent="0.3">
      <c r="G23" t="s">
        <v>170</v>
      </c>
      <c r="J23" s="72">
        <f>J33</f>
        <v>0.73259479959099205</v>
      </c>
    </row>
    <row r="24" spans="2:10" x14ac:dyDescent="0.3">
      <c r="B24" s="100" t="s">
        <v>181</v>
      </c>
      <c r="C24" s="100"/>
      <c r="D24" s="100"/>
      <c r="E24" s="101">
        <f>E21*(1-E22)</f>
        <v>9.0964943076382976E-2</v>
      </c>
    </row>
    <row r="25" spans="2:10" x14ac:dyDescent="0.3">
      <c r="G25" s="100" t="s">
        <v>182</v>
      </c>
      <c r="H25" s="100"/>
      <c r="I25" s="100"/>
      <c r="J25" s="102">
        <f>J21+J23*J22</f>
        <v>0.13868975485624846</v>
      </c>
    </row>
    <row r="28" spans="2:10" x14ac:dyDescent="0.3">
      <c r="B28" s="52" t="s">
        <v>185</v>
      </c>
      <c r="C28" s="42"/>
      <c r="D28" s="42"/>
      <c r="E28" s="42"/>
      <c r="G28" s="52" t="s">
        <v>170</v>
      </c>
      <c r="H28" s="42"/>
      <c r="I28" s="42"/>
      <c r="J28" s="42"/>
    </row>
    <row r="30" spans="2:10" x14ac:dyDescent="0.3">
      <c r="D30" s="97" t="s">
        <v>186</v>
      </c>
      <c r="E30" s="97" t="s">
        <v>187</v>
      </c>
      <c r="G30" t="s">
        <v>191</v>
      </c>
      <c r="J30" s="72">
        <f>J16</f>
        <v>0.72145689231553933</v>
      </c>
    </row>
    <row r="31" spans="2:10" x14ac:dyDescent="0.3">
      <c r="B31" t="s">
        <v>188</v>
      </c>
      <c r="C31">
        <f>D13</f>
        <v>2392.6799999999998</v>
      </c>
      <c r="D31" s="41">
        <f>C31/$C$33</f>
        <v>2.167325209200217E-2</v>
      </c>
      <c r="E31" s="41">
        <f>H15</f>
        <v>2.0168943461624012E-2</v>
      </c>
      <c r="G31" t="s">
        <v>192</v>
      </c>
      <c r="J31" s="41">
        <f>E35</f>
        <v>2.0584103072705653E-2</v>
      </c>
    </row>
    <row r="32" spans="2:10" x14ac:dyDescent="0.3">
      <c r="B32" t="s">
        <v>189</v>
      </c>
      <c r="C32">
        <f>E13</f>
        <v>108005.15</v>
      </c>
      <c r="D32" s="41">
        <f>C32/$C$33</f>
        <v>0.9783267479079979</v>
      </c>
      <c r="E32" s="41">
        <f>E33-E31</f>
        <v>0.97983105653837599</v>
      </c>
      <c r="G32" t="s">
        <v>169</v>
      </c>
      <c r="J32" s="41">
        <f>F13</f>
        <v>0.25</v>
      </c>
    </row>
    <row r="33" spans="2:10" x14ac:dyDescent="0.3">
      <c r="B33" t="s">
        <v>190</v>
      </c>
      <c r="C33" s="98">
        <f>SUM(C31:C32)</f>
        <v>110397.82999999999</v>
      </c>
      <c r="D33" s="99">
        <f>SUM(D31:D32)</f>
        <v>1</v>
      </c>
      <c r="E33" s="99">
        <f>100%</f>
        <v>1</v>
      </c>
      <c r="G33" s="100" t="s">
        <v>170</v>
      </c>
      <c r="H33" s="100"/>
      <c r="I33" s="100"/>
      <c r="J33" s="103">
        <f>J30*(1+(J31*(1-J32)))</f>
        <v>0.73259479959099205</v>
      </c>
    </row>
    <row r="35" spans="2:10" x14ac:dyDescent="0.3">
      <c r="B35" t="s">
        <v>171</v>
      </c>
      <c r="C35" s="2"/>
      <c r="D35" s="82">
        <f>D31/D32</f>
        <v>2.2153388056032512E-2</v>
      </c>
      <c r="E35" s="82">
        <f>E31/E32</f>
        <v>2.0584103072705653E-2</v>
      </c>
      <c r="G35" s="52" t="s">
        <v>468</v>
      </c>
      <c r="H35" s="42"/>
      <c r="I35" s="42"/>
      <c r="J35" s="42"/>
    </row>
    <row r="37" spans="2:10" x14ac:dyDescent="0.3">
      <c r="G37" t="s">
        <v>182</v>
      </c>
      <c r="J37" s="41">
        <f>J25</f>
        <v>0.13868975485624846</v>
      </c>
    </row>
    <row r="38" spans="2:10" x14ac:dyDescent="0.3">
      <c r="G38" t="s">
        <v>469</v>
      </c>
      <c r="J38" s="41">
        <f>E32</f>
        <v>0.97983105653837599</v>
      </c>
    </row>
    <row r="40" spans="2:10" x14ac:dyDescent="0.3">
      <c r="G40" t="s">
        <v>179</v>
      </c>
      <c r="J40" s="41">
        <f>E24</f>
        <v>9.0964943076382976E-2</v>
      </c>
    </row>
    <row r="41" spans="2:10" x14ac:dyDescent="0.3">
      <c r="B41" s="106" t="s">
        <v>472</v>
      </c>
      <c r="G41" t="s">
        <v>470</v>
      </c>
      <c r="J41" s="41">
        <f>E31</f>
        <v>2.0168943461624012E-2</v>
      </c>
    </row>
    <row r="42" spans="2:10" x14ac:dyDescent="0.3">
      <c r="B42" s="106" t="s">
        <v>473</v>
      </c>
    </row>
    <row r="43" spans="2:10" x14ac:dyDescent="0.3">
      <c r="B43" s="106" t="s">
        <v>474</v>
      </c>
      <c r="G43" s="104" t="s">
        <v>471</v>
      </c>
      <c r="H43" s="104"/>
      <c r="I43" s="104"/>
      <c r="J43" s="105">
        <f>SUM(J37*J38,J40*J41)</f>
        <v>0.13772719582574369</v>
      </c>
    </row>
  </sheetData>
  <pageMargins left="0.7" right="0.7" top="0.75" bottom="0.75" header="0.3" footer="0.3"/>
  <pageSetup paperSize="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A21C-24D1-4F5B-93EE-DEB9186F4CCF}">
  <dimension ref="B2:R111"/>
  <sheetViews>
    <sheetView showGridLines="0" zoomScale="94" workbookViewId="0">
      <selection activeCell="B2" sqref="B2"/>
    </sheetView>
  </sheetViews>
  <sheetFormatPr defaultRowHeight="14.4" x14ac:dyDescent="0.3"/>
  <cols>
    <col min="1" max="1" width="1.88671875" customWidth="1"/>
    <col min="2" max="2" width="11.33203125" customWidth="1"/>
    <col min="3" max="3" width="18.6640625" customWidth="1"/>
    <col min="4" max="4" width="14.77734375" customWidth="1"/>
    <col min="6" max="6" width="12.21875" customWidth="1"/>
    <col min="7" max="7" width="13.6640625" customWidth="1"/>
    <col min="8" max="8" width="14.44140625" customWidth="1"/>
    <col min="10" max="10" width="17.44140625" bestFit="1" customWidth="1"/>
    <col min="11" max="11" width="12.77734375" bestFit="1" customWidth="1"/>
    <col min="12" max="12" width="14.109375" bestFit="1" customWidth="1"/>
    <col min="13" max="14" width="12.77734375" bestFit="1" customWidth="1"/>
    <col min="15" max="15" width="13.33203125" bestFit="1" customWidth="1"/>
    <col min="16" max="16" width="12.77734375" bestFit="1" customWidth="1"/>
    <col min="17" max="17" width="13.33203125" bestFit="1" customWidth="1"/>
    <col min="18" max="18" width="12.77734375" bestFit="1" customWidth="1"/>
  </cols>
  <sheetData>
    <row r="2" spans="2:18" x14ac:dyDescent="0.3">
      <c r="B2" s="2" t="s">
        <v>633</v>
      </c>
    </row>
    <row r="4" spans="2:18" x14ac:dyDescent="0.3">
      <c r="B4" s="9" t="s">
        <v>460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6" spans="2:18" x14ac:dyDescent="0.3">
      <c r="B6" s="191" t="str">
        <f>"Weekly Returns - "&amp;'Data Sheet'!$B$1</f>
        <v>Weekly Returns - TATA CONSUMER PRODUCTS LTD</v>
      </c>
      <c r="C6" s="191"/>
      <c r="D6" s="191"/>
      <c r="F6" s="14"/>
      <c r="G6" s="14" t="s">
        <v>193</v>
      </c>
      <c r="H6" s="14"/>
      <c r="J6" s="14" t="str">
        <f>"Beta - "&amp;'Data Sheet'!$B$1</f>
        <v>Beta - TATA CONSUMER PRODUCTS LTD</v>
      </c>
      <c r="K6" s="14"/>
      <c r="L6" s="14"/>
      <c r="M6" s="14"/>
    </row>
    <row r="7" spans="2:18" x14ac:dyDescent="0.3">
      <c r="B7" s="80" t="s">
        <v>195</v>
      </c>
      <c r="C7" s="80" t="s">
        <v>434</v>
      </c>
      <c r="D7" s="80" t="s">
        <v>435</v>
      </c>
      <c r="E7" s="2"/>
      <c r="F7" s="2" t="s">
        <v>195</v>
      </c>
      <c r="G7" s="2" t="s">
        <v>434</v>
      </c>
      <c r="H7" s="2" t="s">
        <v>435</v>
      </c>
      <c r="J7" s="2" t="s">
        <v>436</v>
      </c>
      <c r="K7" s="72">
        <f>SLOPE(D8:D110,H8:H110)</f>
        <v>0.89051408945473765</v>
      </c>
    </row>
    <row r="8" spans="2:18" x14ac:dyDescent="0.3">
      <c r="B8" t="s">
        <v>202</v>
      </c>
      <c r="C8" s="85">
        <v>1091.5</v>
      </c>
      <c r="D8" s="73">
        <f t="shared" ref="D8:D39" si="0">C8/C9-1</f>
        <v>1.2147626112759546E-2</v>
      </c>
      <c r="E8" s="85"/>
      <c r="F8" t="s">
        <v>202</v>
      </c>
      <c r="G8" s="85">
        <v>25112.400000000001</v>
      </c>
      <c r="H8" s="73">
        <f>G8/G9-1</f>
        <v>1.5931322971365791E-2</v>
      </c>
    </row>
    <row r="9" spans="2:18" x14ac:dyDescent="0.3">
      <c r="B9" s="86">
        <v>45875</v>
      </c>
      <c r="C9" s="85">
        <v>1078.4000000000001</v>
      </c>
      <c r="D9" s="73">
        <f t="shared" si="0"/>
        <v>-3.3345285048404283E-2</v>
      </c>
      <c r="E9" s="85"/>
      <c r="F9" s="86">
        <v>45875</v>
      </c>
      <c r="G9" s="85">
        <v>24718.6</v>
      </c>
      <c r="H9" s="73">
        <f t="shared" ref="H9:H72" si="1">G9/G10-1</f>
        <v>-1.1376612053329516E-2</v>
      </c>
      <c r="J9" t="s">
        <v>437</v>
      </c>
    </row>
    <row r="10" spans="2:18" ht="15" thickBot="1" x14ac:dyDescent="0.35">
      <c r="B10" s="86">
        <v>45663</v>
      </c>
      <c r="C10" s="85">
        <v>1115.5999999999999</v>
      </c>
      <c r="D10" s="73">
        <f t="shared" si="0"/>
        <v>8.4063997107475252E-3</v>
      </c>
      <c r="E10" s="85"/>
      <c r="F10" s="86">
        <v>45663</v>
      </c>
      <c r="G10" s="85">
        <v>25003.05</v>
      </c>
      <c r="H10" s="73">
        <f t="shared" si="1"/>
        <v>1.0195671233540704E-2</v>
      </c>
    </row>
    <row r="11" spans="2:18" x14ac:dyDescent="0.3">
      <c r="B11" t="s">
        <v>206</v>
      </c>
      <c r="C11" s="85">
        <v>1106.3</v>
      </c>
      <c r="D11" s="73">
        <f t="shared" si="0"/>
        <v>-3.0241935483870996E-2</v>
      </c>
      <c r="E11" s="85"/>
      <c r="F11" t="s">
        <v>206</v>
      </c>
      <c r="G11" s="85">
        <v>24750.7</v>
      </c>
      <c r="H11" s="73">
        <f t="shared" si="1"/>
        <v>-4.1222138843567402E-3</v>
      </c>
      <c r="J11" s="89" t="s">
        <v>438</v>
      </c>
      <c r="K11" s="89"/>
    </row>
    <row r="12" spans="2:18" x14ac:dyDescent="0.3">
      <c r="B12" t="s">
        <v>208</v>
      </c>
      <c r="C12" s="85">
        <v>1140.8</v>
      </c>
      <c r="D12" s="73">
        <f t="shared" si="0"/>
        <v>-2.3287671232876783E-2</v>
      </c>
      <c r="E12" s="85"/>
      <c r="F12" t="s">
        <v>208</v>
      </c>
      <c r="G12" s="85">
        <v>24853.15</v>
      </c>
      <c r="H12" s="73">
        <f t="shared" si="1"/>
        <v>-6.660724706032739E-3</v>
      </c>
      <c r="J12" t="s">
        <v>439</v>
      </c>
      <c r="K12">
        <v>0.48475881535792154</v>
      </c>
    </row>
    <row r="13" spans="2:18" x14ac:dyDescent="0.3">
      <c r="B13" s="86">
        <v>45966</v>
      </c>
      <c r="C13" s="85">
        <v>1168</v>
      </c>
      <c r="D13" s="73">
        <f t="shared" si="0"/>
        <v>4.8756397593606948E-2</v>
      </c>
      <c r="E13" s="85"/>
      <c r="F13" s="86">
        <v>45966</v>
      </c>
      <c r="G13" s="85">
        <v>25019.8</v>
      </c>
      <c r="H13" s="73">
        <f t="shared" si="1"/>
        <v>4.2144285238253865E-2</v>
      </c>
      <c r="J13" t="s">
        <v>440</v>
      </c>
      <c r="K13">
        <v>0.23499110906721549</v>
      </c>
    </row>
    <row r="14" spans="2:18" x14ac:dyDescent="0.3">
      <c r="B14" s="86">
        <v>45752</v>
      </c>
      <c r="C14" s="85">
        <v>1113.7</v>
      </c>
      <c r="D14" s="73">
        <f t="shared" si="0"/>
        <v>-3.7257952973720476E-2</v>
      </c>
      <c r="E14" s="85"/>
      <c r="F14" s="86">
        <v>45752</v>
      </c>
      <c r="G14" s="85">
        <v>24008</v>
      </c>
      <c r="H14" s="73">
        <f t="shared" si="1"/>
        <v>-1.391153626569519E-2</v>
      </c>
      <c r="J14" t="s">
        <v>441</v>
      </c>
      <c r="K14">
        <v>0.22741676361243546</v>
      </c>
    </row>
    <row r="15" spans="2:18" x14ac:dyDescent="0.3">
      <c r="B15" t="s">
        <v>212</v>
      </c>
      <c r="C15" s="85">
        <v>1156.8</v>
      </c>
      <c r="D15" s="73">
        <f t="shared" si="0"/>
        <v>9.5180410141026961E-4</v>
      </c>
      <c r="E15" s="85"/>
      <c r="F15" t="s">
        <v>212</v>
      </c>
      <c r="G15" s="85">
        <v>24346.7</v>
      </c>
      <c r="H15" s="73">
        <f t="shared" si="1"/>
        <v>1.2785287455775673E-2</v>
      </c>
      <c r="J15" t="s">
        <v>442</v>
      </c>
      <c r="K15">
        <v>2.760521270662572E-2</v>
      </c>
    </row>
    <row r="16" spans="2:18" ht="15" thickBot="1" x14ac:dyDescent="0.35">
      <c r="B16" t="s">
        <v>214</v>
      </c>
      <c r="C16" s="85">
        <v>1155.7</v>
      </c>
      <c r="D16" s="73">
        <f t="shared" si="0"/>
        <v>3.169076950544536E-2</v>
      </c>
      <c r="E16" s="85"/>
      <c r="F16" t="s">
        <v>214</v>
      </c>
      <c r="G16" s="85">
        <v>24039.35</v>
      </c>
      <c r="H16" s="73">
        <f t="shared" si="1"/>
        <v>7.86947653516612E-3</v>
      </c>
      <c r="J16" s="87" t="s">
        <v>443</v>
      </c>
      <c r="K16" s="87">
        <v>103</v>
      </c>
    </row>
    <row r="17" spans="2:18" x14ac:dyDescent="0.3">
      <c r="B17" t="s">
        <v>216</v>
      </c>
      <c r="C17" s="85">
        <v>1120.2</v>
      </c>
      <c r="D17" s="73">
        <f t="shared" si="0"/>
        <v>2.0311503779943507E-2</v>
      </c>
      <c r="E17" s="85"/>
      <c r="F17" t="s">
        <v>216</v>
      </c>
      <c r="G17" s="85">
        <v>23851.65</v>
      </c>
      <c r="H17" s="73">
        <f t="shared" si="1"/>
        <v>4.4816687875489425E-2</v>
      </c>
    </row>
    <row r="18" spans="2:18" ht="15" thickBot="1" x14ac:dyDescent="0.35">
      <c r="B18" s="86">
        <v>45812</v>
      </c>
      <c r="C18" s="85">
        <v>1097.9000000000001</v>
      </c>
      <c r="D18" s="73">
        <f t="shared" si="0"/>
        <v>9.2384060302432847E-3</v>
      </c>
      <c r="E18" s="85"/>
      <c r="F18" s="86">
        <v>45812</v>
      </c>
      <c r="G18" s="85">
        <v>22828.55</v>
      </c>
      <c r="H18" s="73">
        <f t="shared" si="1"/>
        <v>-3.3137665388167648E-3</v>
      </c>
      <c r="J18" t="s">
        <v>444</v>
      </c>
    </row>
    <row r="19" spans="2:18" x14ac:dyDescent="0.3">
      <c r="B19" t="s">
        <v>219</v>
      </c>
      <c r="C19" s="85">
        <v>1087.8499999999999</v>
      </c>
      <c r="D19" s="73">
        <f t="shared" si="0"/>
        <v>8.578700469108691E-2</v>
      </c>
      <c r="E19" s="85"/>
      <c r="F19" t="s">
        <v>219</v>
      </c>
      <c r="G19" s="85">
        <v>22904.45</v>
      </c>
      <c r="H19" s="73">
        <f t="shared" si="1"/>
        <v>-2.6144430011883713E-2</v>
      </c>
      <c r="J19" s="88"/>
      <c r="K19" s="88" t="s">
        <v>448</v>
      </c>
      <c r="L19" s="88" t="s">
        <v>449</v>
      </c>
      <c r="M19" s="88" t="s">
        <v>450</v>
      </c>
      <c r="N19" s="88" t="s">
        <v>451</v>
      </c>
      <c r="O19" s="88" t="s">
        <v>452</v>
      </c>
    </row>
    <row r="20" spans="2:18" x14ac:dyDescent="0.3">
      <c r="B20" t="s">
        <v>221</v>
      </c>
      <c r="C20" s="85">
        <v>1001.9</v>
      </c>
      <c r="D20" s="73">
        <f t="shared" si="0"/>
        <v>4.2342904702455275E-2</v>
      </c>
      <c r="E20" s="85"/>
      <c r="F20" t="s">
        <v>221</v>
      </c>
      <c r="G20" s="85">
        <v>23519.35</v>
      </c>
      <c r="H20" s="73">
        <f t="shared" si="1"/>
        <v>7.2354220912702605E-3</v>
      </c>
      <c r="J20" t="s">
        <v>445</v>
      </c>
      <c r="K20">
        <v>1</v>
      </c>
      <c r="L20">
        <v>2.3642234351397562E-2</v>
      </c>
      <c r="M20">
        <v>2.3642234351397562E-2</v>
      </c>
      <c r="N20">
        <v>31.024609383100749</v>
      </c>
      <c r="O20">
        <v>2.1161072307579344E-7</v>
      </c>
    </row>
    <row r="21" spans="2:18" x14ac:dyDescent="0.3">
      <c r="B21" t="s">
        <v>223</v>
      </c>
      <c r="C21">
        <v>961.2</v>
      </c>
      <c r="D21" s="73">
        <f t="shared" si="0"/>
        <v>1.5960257900856201E-2</v>
      </c>
      <c r="F21" t="s">
        <v>223</v>
      </c>
      <c r="G21" s="85">
        <v>23350.400000000001</v>
      </c>
      <c r="H21" s="73">
        <f t="shared" si="1"/>
        <v>4.2558891289982803E-2</v>
      </c>
      <c r="J21" t="s">
        <v>446</v>
      </c>
      <c r="K21">
        <v>101</v>
      </c>
      <c r="L21">
        <v>7.696682462638306E-2</v>
      </c>
      <c r="M21">
        <v>7.6204776857805012E-4</v>
      </c>
    </row>
    <row r="22" spans="2:18" ht="15" thickBot="1" x14ac:dyDescent="0.35">
      <c r="B22" s="86">
        <v>45903</v>
      </c>
      <c r="C22">
        <v>946.1</v>
      </c>
      <c r="D22" s="73">
        <f t="shared" si="0"/>
        <v>-1.657917987630575E-2</v>
      </c>
      <c r="F22" s="86">
        <v>45903</v>
      </c>
      <c r="G22" s="85">
        <v>22397.200000000001</v>
      </c>
      <c r="H22" s="73">
        <f t="shared" si="1"/>
        <v>-6.8861545283227521E-3</v>
      </c>
      <c r="J22" s="87" t="s">
        <v>13</v>
      </c>
      <c r="K22" s="87">
        <v>102</v>
      </c>
      <c r="L22" s="87">
        <v>0.10060905897778062</v>
      </c>
      <c r="M22" s="87"/>
      <c r="N22" s="87"/>
      <c r="O22" s="87"/>
    </row>
    <row r="23" spans="2:18" ht="15" thickBot="1" x14ac:dyDescent="0.35">
      <c r="B23" s="86">
        <v>45691</v>
      </c>
      <c r="C23">
        <v>962.05</v>
      </c>
      <c r="D23" s="73">
        <f t="shared" si="0"/>
        <v>-1.712151084362401E-3</v>
      </c>
      <c r="F23" s="86">
        <v>45691</v>
      </c>
      <c r="G23" s="85">
        <v>22552.5</v>
      </c>
      <c r="H23" s="73">
        <f t="shared" si="1"/>
        <v>1.9335855401429125E-2</v>
      </c>
    </row>
    <row r="24" spans="2:18" x14ac:dyDescent="0.3">
      <c r="B24" t="s">
        <v>227</v>
      </c>
      <c r="C24">
        <v>963.7</v>
      </c>
      <c r="D24" s="73">
        <f t="shared" si="0"/>
        <v>-4.0139442231075684E-2</v>
      </c>
      <c r="E24" s="85"/>
      <c r="F24" t="s">
        <v>227</v>
      </c>
      <c r="G24" s="85">
        <v>22124.7</v>
      </c>
      <c r="H24" s="73">
        <f t="shared" si="1"/>
        <v>-2.9443891226053842E-2</v>
      </c>
      <c r="J24" s="88"/>
      <c r="K24" s="88" t="s">
        <v>453</v>
      </c>
      <c r="L24" s="88" t="s">
        <v>442</v>
      </c>
      <c r="M24" s="88" t="s">
        <v>454</v>
      </c>
      <c r="N24" s="88" t="s">
        <v>455</v>
      </c>
      <c r="O24" s="88" t="s">
        <v>456</v>
      </c>
      <c r="P24" s="88" t="s">
        <v>457</v>
      </c>
      <c r="Q24" s="88" t="s">
        <v>458</v>
      </c>
      <c r="R24" s="88" t="s">
        <v>459</v>
      </c>
    </row>
    <row r="25" spans="2:18" x14ac:dyDescent="0.3">
      <c r="B25" t="s">
        <v>229</v>
      </c>
      <c r="C25" s="85">
        <v>1004</v>
      </c>
      <c r="D25" s="73">
        <f t="shared" si="0"/>
        <v>-1.8140922204293197E-2</v>
      </c>
      <c r="E25" s="85"/>
      <c r="F25" t="s">
        <v>229</v>
      </c>
      <c r="G25" s="85">
        <v>22795.9</v>
      </c>
      <c r="H25" s="73">
        <f t="shared" si="1"/>
        <v>-5.8157157342695331E-3</v>
      </c>
      <c r="J25" t="s">
        <v>447</v>
      </c>
      <c r="K25">
        <v>4.5977726952341983E-4</v>
      </c>
      <c r="L25">
        <v>2.7555857673933529E-3</v>
      </c>
      <c r="M25">
        <v>0.16685282489259853</v>
      </c>
      <c r="N25">
        <v>0.86781944632861074</v>
      </c>
      <c r="O25">
        <v>-5.0065636485579854E-3</v>
      </c>
      <c r="P25">
        <v>5.9261181876048251E-3</v>
      </c>
      <c r="Q25">
        <v>-5.0065636485579854E-3</v>
      </c>
      <c r="R25">
        <v>5.9261181876048251E-3</v>
      </c>
    </row>
    <row r="26" spans="2:18" ht="15" thickBot="1" x14ac:dyDescent="0.35">
      <c r="B26" s="86">
        <v>45902</v>
      </c>
      <c r="C26" s="85">
        <v>1022.55</v>
      </c>
      <c r="D26" s="73">
        <f t="shared" si="0"/>
        <v>1.3219741480610114E-3</v>
      </c>
      <c r="E26" s="85"/>
      <c r="F26" s="86">
        <v>45902</v>
      </c>
      <c r="G26" s="85">
        <v>22929.25</v>
      </c>
      <c r="H26" s="73">
        <f t="shared" si="1"/>
        <v>-2.6770005878620329E-2</v>
      </c>
      <c r="J26" s="87" t="s">
        <v>435</v>
      </c>
      <c r="K26" s="87">
        <v>0.89051408945473809</v>
      </c>
      <c r="L26" s="87">
        <v>0.15987760508121626</v>
      </c>
      <c r="M26" s="87">
        <v>5.5699739122459686</v>
      </c>
      <c r="N26" s="87">
        <v>2.1161072307580355E-7</v>
      </c>
      <c r="O26" s="87">
        <v>0.57335992757683685</v>
      </c>
      <c r="P26" s="87">
        <v>1.2076682513326393</v>
      </c>
      <c r="Q26" s="87">
        <v>0.57335992757683685</v>
      </c>
      <c r="R26" s="87">
        <v>1.2076682513326393</v>
      </c>
    </row>
    <row r="27" spans="2:18" x14ac:dyDescent="0.3">
      <c r="B27" s="86">
        <v>45690</v>
      </c>
      <c r="C27" s="85">
        <v>1021.2</v>
      </c>
      <c r="D27" s="73">
        <f t="shared" si="0"/>
        <v>-3.3670033670034627E-3</v>
      </c>
      <c r="E27" s="85"/>
      <c r="F27" s="86">
        <v>45690</v>
      </c>
      <c r="G27" s="85">
        <v>23559.95</v>
      </c>
      <c r="H27" s="73">
        <f t="shared" si="1"/>
        <v>2.1928332000475947E-3</v>
      </c>
    </row>
    <row r="28" spans="2:18" x14ac:dyDescent="0.3">
      <c r="B28" t="s">
        <v>233</v>
      </c>
      <c r="C28" s="85">
        <v>1024.6500000000001</v>
      </c>
      <c r="D28" s="73">
        <f t="shared" si="0"/>
        <v>3.254899984884374E-2</v>
      </c>
      <c r="E28" s="85"/>
      <c r="F28" t="s">
        <v>233</v>
      </c>
      <c r="G28" s="85">
        <v>23508.400000000001</v>
      </c>
      <c r="H28" s="73">
        <f t="shared" si="1"/>
        <v>1.8023401841314346E-2</v>
      </c>
    </row>
    <row r="29" spans="2:18" x14ac:dyDescent="0.3">
      <c r="B29" t="s">
        <v>235</v>
      </c>
      <c r="C29">
        <v>992.35</v>
      </c>
      <c r="D29" s="73">
        <f t="shared" si="0"/>
        <v>3.9708732778039657E-2</v>
      </c>
      <c r="E29" s="85"/>
      <c r="F29" t="s">
        <v>235</v>
      </c>
      <c r="G29" s="85">
        <v>23092.2</v>
      </c>
      <c r="H29" s="73">
        <f t="shared" si="1"/>
        <v>-4.7838229209764549E-3</v>
      </c>
    </row>
    <row r="30" spans="2:18" x14ac:dyDescent="0.3">
      <c r="B30" s="86">
        <v>45992</v>
      </c>
      <c r="C30">
        <v>954.45</v>
      </c>
      <c r="D30" s="73">
        <f t="shared" si="0"/>
        <v>-1.886307565789469E-2</v>
      </c>
      <c r="F30" s="86">
        <v>45992</v>
      </c>
      <c r="G30" s="85">
        <v>23203.200000000001</v>
      </c>
      <c r="H30" s="73">
        <f t="shared" si="1"/>
        <v>-9.7432942833365344E-3</v>
      </c>
    </row>
    <row r="31" spans="2:18" x14ac:dyDescent="0.3">
      <c r="B31" s="86">
        <v>45778</v>
      </c>
      <c r="C31">
        <v>972.8</v>
      </c>
      <c r="D31" s="73">
        <f t="shared" si="0"/>
        <v>3.5499494385012431E-2</v>
      </c>
      <c r="F31" s="86">
        <v>45778</v>
      </c>
      <c r="G31" s="85">
        <v>23431.5</v>
      </c>
      <c r="H31" s="73">
        <f t="shared" si="1"/>
        <v>-2.3880690280048689E-2</v>
      </c>
    </row>
    <row r="32" spans="2:18" x14ac:dyDescent="0.3">
      <c r="B32" t="s">
        <v>239</v>
      </c>
      <c r="C32">
        <v>939.45</v>
      </c>
      <c r="D32" s="73">
        <f t="shared" si="0"/>
        <v>3.4693540393193389E-2</v>
      </c>
      <c r="F32" t="s">
        <v>239</v>
      </c>
      <c r="G32" s="85">
        <v>24004.75</v>
      </c>
      <c r="H32" s="73">
        <f t="shared" si="1"/>
        <v>8.035391838208783E-3</v>
      </c>
    </row>
    <row r="33" spans="2:8" x14ac:dyDescent="0.3">
      <c r="B33" t="s">
        <v>241</v>
      </c>
      <c r="C33">
        <v>907.95</v>
      </c>
      <c r="D33" s="73">
        <f t="shared" si="0"/>
        <v>2.0799370397436512E-2</v>
      </c>
      <c r="F33" t="s">
        <v>241</v>
      </c>
      <c r="G33" s="85">
        <v>23813.4</v>
      </c>
      <c r="H33" s="73">
        <f t="shared" si="1"/>
        <v>9.5771065182830295E-3</v>
      </c>
    </row>
    <row r="34" spans="2:8" x14ac:dyDescent="0.3">
      <c r="B34" t="s">
        <v>243</v>
      </c>
      <c r="C34">
        <v>889.45</v>
      </c>
      <c r="D34" s="73">
        <f t="shared" si="0"/>
        <v>-4.3293535549101869E-2</v>
      </c>
      <c r="F34" t="s">
        <v>243</v>
      </c>
      <c r="G34" s="85">
        <v>23587.5</v>
      </c>
      <c r="H34" s="73">
        <f t="shared" si="1"/>
        <v>-4.7673841159869612E-2</v>
      </c>
    </row>
    <row r="35" spans="2:8" x14ac:dyDescent="0.3">
      <c r="B35" s="86">
        <v>45516</v>
      </c>
      <c r="C35">
        <v>929.7</v>
      </c>
      <c r="D35" s="73">
        <f t="shared" si="0"/>
        <v>-4.5923341372056004E-2</v>
      </c>
      <c r="F35" s="86">
        <v>45516</v>
      </c>
      <c r="G35" s="85">
        <v>24768.3</v>
      </c>
      <c r="H35" s="73">
        <f t="shared" si="1"/>
        <v>3.6672636944945491E-3</v>
      </c>
    </row>
    <row r="36" spans="2:8" x14ac:dyDescent="0.3">
      <c r="B36" s="86">
        <v>45303</v>
      </c>
      <c r="C36">
        <v>974.45</v>
      </c>
      <c r="D36" s="73">
        <f t="shared" si="0"/>
        <v>1.6481510457414084E-2</v>
      </c>
      <c r="F36" s="86">
        <v>45303</v>
      </c>
      <c r="G36" s="85">
        <v>24677.8</v>
      </c>
      <c r="H36" s="73">
        <f t="shared" si="1"/>
        <v>2.2655411481449228E-2</v>
      </c>
    </row>
    <row r="37" spans="2:8" x14ac:dyDescent="0.3">
      <c r="B37" t="s">
        <v>247</v>
      </c>
      <c r="C37">
        <v>958.65</v>
      </c>
      <c r="D37" s="73">
        <f t="shared" si="0"/>
        <v>1.4229792636478944E-2</v>
      </c>
      <c r="F37" t="s">
        <v>247</v>
      </c>
      <c r="G37" s="85">
        <v>24131.1</v>
      </c>
      <c r="H37" s="73">
        <f t="shared" si="1"/>
        <v>9.3632684645870157E-3</v>
      </c>
    </row>
    <row r="38" spans="2:8" x14ac:dyDescent="0.3">
      <c r="B38" t="s">
        <v>249</v>
      </c>
      <c r="C38">
        <v>945.2</v>
      </c>
      <c r="D38" s="73">
        <f t="shared" si="0"/>
        <v>2.1837837837837881E-2</v>
      </c>
      <c r="F38" t="s">
        <v>249</v>
      </c>
      <c r="G38" s="85">
        <v>23907.25</v>
      </c>
      <c r="H38" s="73">
        <f t="shared" si="1"/>
        <v>1.5916150717937061E-2</v>
      </c>
    </row>
    <row r="39" spans="2:8" x14ac:dyDescent="0.3">
      <c r="B39" s="86">
        <v>45576</v>
      </c>
      <c r="C39">
        <v>925</v>
      </c>
      <c r="D39" s="73">
        <f t="shared" si="0"/>
        <v>-6.8432448763784737E-2</v>
      </c>
      <c r="F39" s="86">
        <v>45576</v>
      </c>
      <c r="G39" s="85">
        <v>23532.7</v>
      </c>
      <c r="H39" s="73">
        <f t="shared" si="1"/>
        <v>-2.5488442202731498E-2</v>
      </c>
    </row>
    <row r="40" spans="2:8" x14ac:dyDescent="0.3">
      <c r="B40" s="86">
        <v>45362</v>
      </c>
      <c r="C40">
        <v>992.95</v>
      </c>
      <c r="D40" s="73">
        <f t="shared" ref="D40:D71" si="2">C40/C41-1</f>
        <v>-1.110447166616868E-2</v>
      </c>
      <c r="E40" s="85"/>
      <c r="F40" s="86">
        <v>45362</v>
      </c>
      <c r="G40" s="85">
        <v>24148.2</v>
      </c>
      <c r="H40" s="73">
        <f t="shared" si="1"/>
        <v>-6.4247758117372822E-3</v>
      </c>
    </row>
    <row r="41" spans="2:8" x14ac:dyDescent="0.3">
      <c r="B41" t="s">
        <v>253</v>
      </c>
      <c r="C41" s="85">
        <v>1004.1</v>
      </c>
      <c r="D41" s="73">
        <f t="shared" si="2"/>
        <v>3.1909973793741386E-2</v>
      </c>
      <c r="E41" s="85"/>
      <c r="F41" t="s">
        <v>253</v>
      </c>
      <c r="G41" s="85">
        <v>24304.35</v>
      </c>
      <c r="H41" s="73">
        <f t="shared" si="1"/>
        <v>5.1094256600276999E-3</v>
      </c>
    </row>
    <row r="42" spans="2:8" x14ac:dyDescent="0.3">
      <c r="B42" t="s">
        <v>255</v>
      </c>
      <c r="C42">
        <v>973.05</v>
      </c>
      <c r="D42" s="73">
        <f t="shared" si="2"/>
        <v>-0.10994740452778418</v>
      </c>
      <c r="E42" s="85"/>
      <c r="F42" t="s">
        <v>255</v>
      </c>
      <c r="G42" s="85">
        <v>24180.799999999999</v>
      </c>
      <c r="H42" s="73">
        <f t="shared" si="1"/>
        <v>-2.7088140564616281E-2</v>
      </c>
    </row>
    <row r="43" spans="2:8" x14ac:dyDescent="0.3">
      <c r="B43" t="s">
        <v>257</v>
      </c>
      <c r="C43" s="85">
        <v>1093.25</v>
      </c>
      <c r="D43" s="73">
        <f t="shared" si="2"/>
        <v>-1.7833078788967671E-2</v>
      </c>
      <c r="E43" s="85"/>
      <c r="F43" t="s">
        <v>257</v>
      </c>
      <c r="G43" s="85">
        <v>24854.05</v>
      </c>
      <c r="H43" s="73">
        <f t="shared" si="1"/>
        <v>-4.4143124668275524E-3</v>
      </c>
    </row>
    <row r="44" spans="2:8" x14ac:dyDescent="0.3">
      <c r="B44" s="86">
        <v>45453</v>
      </c>
      <c r="C44" s="85">
        <v>1113.0999999999999</v>
      </c>
      <c r="D44" s="73">
        <f t="shared" si="2"/>
        <v>-1.5304317055909622E-2</v>
      </c>
      <c r="E44" s="85"/>
      <c r="F44" s="86">
        <v>45453</v>
      </c>
      <c r="G44" s="85">
        <v>24964.25</v>
      </c>
      <c r="H44" s="73">
        <f t="shared" si="1"/>
        <v>-2.0128245104857889E-3</v>
      </c>
    </row>
    <row r="45" spans="2:8" x14ac:dyDescent="0.3">
      <c r="B45" t="s">
        <v>260</v>
      </c>
      <c r="C45" s="85">
        <v>1130.4000000000001</v>
      </c>
      <c r="D45" s="73">
        <f t="shared" si="2"/>
        <v>-5.9215180391993583E-2</v>
      </c>
      <c r="E45" s="85"/>
      <c r="F45" t="s">
        <v>260</v>
      </c>
      <c r="G45" s="85">
        <v>25014.6</v>
      </c>
      <c r="H45" s="73">
        <f t="shared" si="1"/>
        <v>-4.4476573735768743E-2</v>
      </c>
    </row>
    <row r="46" spans="2:8" x14ac:dyDescent="0.3">
      <c r="B46" t="s">
        <v>262</v>
      </c>
      <c r="C46" s="85">
        <v>1201.55</v>
      </c>
      <c r="D46" s="73">
        <f t="shared" si="2"/>
        <v>-1.2573447836627283E-2</v>
      </c>
      <c r="E46" s="85"/>
      <c r="F46" t="s">
        <v>262</v>
      </c>
      <c r="G46" s="85">
        <v>26178.95</v>
      </c>
      <c r="H46" s="73">
        <f t="shared" si="1"/>
        <v>1.5044036764834123E-2</v>
      </c>
    </row>
    <row r="47" spans="2:8" x14ac:dyDescent="0.3">
      <c r="B47" t="s">
        <v>264</v>
      </c>
      <c r="C47" s="85">
        <v>1216.8499999999999</v>
      </c>
      <c r="D47" s="73">
        <f t="shared" si="2"/>
        <v>5.4118813517309849E-3</v>
      </c>
      <c r="E47" s="85"/>
      <c r="F47" t="s">
        <v>264</v>
      </c>
      <c r="G47" s="85">
        <v>25790.95</v>
      </c>
      <c r="H47" s="73">
        <f t="shared" si="1"/>
        <v>1.7133673811448702E-2</v>
      </c>
    </row>
    <row r="48" spans="2:8" x14ac:dyDescent="0.3">
      <c r="B48" s="86">
        <v>45513</v>
      </c>
      <c r="C48" s="85">
        <v>1210.3</v>
      </c>
      <c r="D48" s="73">
        <f t="shared" si="2"/>
        <v>3.1051667589555798E-2</v>
      </c>
      <c r="E48" s="85"/>
      <c r="F48" s="86">
        <v>45513</v>
      </c>
      <c r="G48" s="85">
        <v>25356.5</v>
      </c>
      <c r="H48" s="73">
        <f t="shared" si="1"/>
        <v>2.0294018827344829E-2</v>
      </c>
    </row>
    <row r="49" spans="2:8" x14ac:dyDescent="0.3">
      <c r="B49" s="86">
        <v>45300</v>
      </c>
      <c r="C49" s="85">
        <v>1173.8499999999999</v>
      </c>
      <c r="D49" s="73">
        <f t="shared" si="2"/>
        <v>-2.1913927425738611E-2</v>
      </c>
      <c r="E49" s="85"/>
      <c r="F49" s="86">
        <v>45300</v>
      </c>
      <c r="G49" s="85">
        <v>24852.15</v>
      </c>
      <c r="H49" s="73">
        <f t="shared" si="1"/>
        <v>-1.5206511358818231E-2</v>
      </c>
    </row>
    <row r="50" spans="2:8" x14ac:dyDescent="0.3">
      <c r="B50" t="s">
        <v>268</v>
      </c>
      <c r="C50" s="85">
        <v>1200.1500000000001</v>
      </c>
      <c r="D50" s="73">
        <f t="shared" si="2"/>
        <v>2.7991310160428995E-3</v>
      </c>
      <c r="E50" s="85"/>
      <c r="F50" t="s">
        <v>268</v>
      </c>
      <c r="G50" s="85">
        <v>25235.9</v>
      </c>
      <c r="H50" s="73">
        <f t="shared" si="1"/>
        <v>1.6627623810837822E-2</v>
      </c>
    </row>
    <row r="51" spans="2:8" x14ac:dyDescent="0.3">
      <c r="B51" t="s">
        <v>270</v>
      </c>
      <c r="C51" s="85">
        <v>1196.8</v>
      </c>
      <c r="D51" s="73">
        <f t="shared" si="2"/>
        <v>7.6194485371501308E-3</v>
      </c>
      <c r="E51" s="85"/>
      <c r="F51" t="s">
        <v>270</v>
      </c>
      <c r="G51" s="85">
        <v>24823.15</v>
      </c>
      <c r="H51" s="73">
        <f t="shared" si="1"/>
        <v>1.1490904052988471E-2</v>
      </c>
    </row>
    <row r="52" spans="2:8" x14ac:dyDescent="0.3">
      <c r="B52" s="86">
        <v>45604</v>
      </c>
      <c r="C52" s="85">
        <v>1187.75</v>
      </c>
      <c r="D52" s="73">
        <f t="shared" si="2"/>
        <v>1.3489019095391797E-3</v>
      </c>
      <c r="E52" s="85"/>
      <c r="F52" s="86">
        <v>45604</v>
      </c>
      <c r="G52" s="85">
        <v>24541.15</v>
      </c>
      <c r="H52" s="73">
        <f t="shared" si="1"/>
        <v>7.1262952703396998E-3</v>
      </c>
    </row>
    <row r="53" spans="2:8" x14ac:dyDescent="0.3">
      <c r="B53" s="86">
        <v>45390</v>
      </c>
      <c r="C53" s="85">
        <v>1186.1500000000001</v>
      </c>
      <c r="D53" s="73">
        <f t="shared" si="2"/>
        <v>-6.2832488585431445E-3</v>
      </c>
      <c r="E53" s="85"/>
      <c r="F53" s="86">
        <v>45390</v>
      </c>
      <c r="G53" s="85">
        <v>24367.5</v>
      </c>
      <c r="H53" s="73">
        <f t="shared" si="1"/>
        <v>-1.4167984885325113E-2</v>
      </c>
    </row>
    <row r="54" spans="2:8" x14ac:dyDescent="0.3">
      <c r="B54" t="s">
        <v>274</v>
      </c>
      <c r="C54" s="85">
        <v>1193.6500000000001</v>
      </c>
      <c r="D54" s="73">
        <f t="shared" si="2"/>
        <v>-1.6479215589337959E-2</v>
      </c>
      <c r="E54" s="85"/>
      <c r="F54" t="s">
        <v>274</v>
      </c>
      <c r="G54" s="85">
        <v>24717.7</v>
      </c>
      <c r="H54" s="73">
        <f t="shared" si="1"/>
        <v>-4.7171615693268887E-3</v>
      </c>
    </row>
    <row r="55" spans="2:8" x14ac:dyDescent="0.3">
      <c r="B55" t="s">
        <v>276</v>
      </c>
      <c r="C55" s="85">
        <v>1213.6500000000001</v>
      </c>
      <c r="D55" s="73">
        <f t="shared" si="2"/>
        <v>3.4284399447768177E-2</v>
      </c>
      <c r="E55" s="85"/>
      <c r="F55" t="s">
        <v>276</v>
      </c>
      <c r="G55" s="85">
        <v>24834.85</v>
      </c>
      <c r="H55" s="73">
        <f t="shared" si="1"/>
        <v>1.2390495252925682E-2</v>
      </c>
    </row>
    <row r="56" spans="2:8" x14ac:dyDescent="0.3">
      <c r="B56" t="s">
        <v>278</v>
      </c>
      <c r="C56" s="85">
        <v>1173.42</v>
      </c>
      <c r="D56" s="73">
        <f t="shared" si="2"/>
        <v>3.1034179773306469E-2</v>
      </c>
      <c r="E56" s="85"/>
      <c r="F56" t="s">
        <v>278</v>
      </c>
      <c r="G56" s="85">
        <v>24530.9</v>
      </c>
      <c r="H56" s="73">
        <f t="shared" si="1"/>
        <v>1.1733664188653403E-3</v>
      </c>
    </row>
    <row r="57" spans="2:8" x14ac:dyDescent="0.3">
      <c r="B57" s="86">
        <v>45480</v>
      </c>
      <c r="C57" s="85">
        <v>1138.0999999999999</v>
      </c>
      <c r="D57" s="73">
        <f t="shared" si="2"/>
        <v>1.3049206010111725E-2</v>
      </c>
      <c r="E57" s="85"/>
      <c r="F57" s="86">
        <v>45480</v>
      </c>
      <c r="G57" s="85">
        <v>24502.15</v>
      </c>
      <c r="H57" s="73">
        <f t="shared" si="1"/>
        <v>7.3302540510651326E-3</v>
      </c>
    </row>
    <row r="58" spans="2:8" x14ac:dyDescent="0.3">
      <c r="B58" t="s">
        <v>281</v>
      </c>
      <c r="C58" s="85">
        <v>1123.44</v>
      </c>
      <c r="D58" s="73">
        <f t="shared" si="2"/>
        <v>3.640288566209704E-2</v>
      </c>
      <c r="E58" s="85"/>
      <c r="F58" t="s">
        <v>281</v>
      </c>
      <c r="G58" s="85">
        <v>24323.85</v>
      </c>
      <c r="H58" s="73">
        <f t="shared" si="1"/>
        <v>1.3046321208133094E-2</v>
      </c>
    </row>
    <row r="59" spans="2:8" x14ac:dyDescent="0.3">
      <c r="B59" t="s">
        <v>283</v>
      </c>
      <c r="C59" s="85">
        <v>1083.98</v>
      </c>
      <c r="D59" s="73">
        <f t="shared" si="2"/>
        <v>1.1571697866701536E-2</v>
      </c>
      <c r="E59" s="85"/>
      <c r="F59" t="s">
        <v>283</v>
      </c>
      <c r="G59" s="85">
        <v>24010.6</v>
      </c>
      <c r="H59" s="73">
        <f t="shared" si="1"/>
        <v>2.1679836262983532E-2</v>
      </c>
    </row>
    <row r="60" spans="2:8" x14ac:dyDescent="0.3">
      <c r="B60" t="s">
        <v>285</v>
      </c>
      <c r="C60" s="85">
        <v>1071.58</v>
      </c>
      <c r="D60" s="73">
        <f t="shared" si="2"/>
        <v>-2.4763603600324036E-2</v>
      </c>
      <c r="E60" s="85"/>
      <c r="F60" t="s">
        <v>285</v>
      </c>
      <c r="G60" s="85">
        <v>23501.1</v>
      </c>
      <c r="H60" s="73">
        <f t="shared" si="1"/>
        <v>1.5128528569481325E-3</v>
      </c>
    </row>
    <row r="61" spans="2:8" x14ac:dyDescent="0.3">
      <c r="B61" s="86">
        <v>45541</v>
      </c>
      <c r="C61" s="85">
        <v>1098.79</v>
      </c>
      <c r="D61" s="73">
        <f t="shared" si="2"/>
        <v>-2.0433088766258711E-2</v>
      </c>
      <c r="E61" s="85"/>
      <c r="F61" s="86">
        <v>45541</v>
      </c>
      <c r="G61" s="85">
        <v>23465.599999999999</v>
      </c>
      <c r="H61" s="73">
        <f t="shared" si="1"/>
        <v>7.5332275661599279E-3</v>
      </c>
    </row>
    <row r="62" spans="2:8" x14ac:dyDescent="0.3">
      <c r="B62" s="86">
        <v>45328</v>
      </c>
      <c r="C62" s="85">
        <v>1121.71</v>
      </c>
      <c r="D62" s="73">
        <f t="shared" si="2"/>
        <v>7.112095719182987E-2</v>
      </c>
      <c r="E62" s="85"/>
      <c r="F62" s="86">
        <v>45328</v>
      </c>
      <c r="G62" s="85">
        <v>23290.15</v>
      </c>
      <c r="H62" s="73">
        <f t="shared" si="1"/>
        <v>3.3707341538434354E-2</v>
      </c>
    </row>
    <row r="63" spans="2:8" x14ac:dyDescent="0.3">
      <c r="B63" t="s">
        <v>289</v>
      </c>
      <c r="C63" s="85">
        <v>1047.23</v>
      </c>
      <c r="D63" s="73">
        <f t="shared" si="2"/>
        <v>-3.4606414262931318E-2</v>
      </c>
      <c r="E63" s="85"/>
      <c r="F63" t="s">
        <v>289</v>
      </c>
      <c r="G63" s="85">
        <v>22530.7</v>
      </c>
      <c r="H63" s="73">
        <f t="shared" si="1"/>
        <v>-1.8573774562117951E-2</v>
      </c>
    </row>
    <row r="64" spans="2:8" x14ac:dyDescent="0.3">
      <c r="B64" t="s">
        <v>291</v>
      </c>
      <c r="C64" s="85">
        <v>1084.77</v>
      </c>
      <c r="D64" s="73">
        <f t="shared" si="2"/>
        <v>2.791772590709396E-3</v>
      </c>
      <c r="E64" s="85"/>
      <c r="F64" t="s">
        <v>291</v>
      </c>
      <c r="G64" s="85">
        <v>22957.1</v>
      </c>
      <c r="H64" s="73">
        <f t="shared" si="1"/>
        <v>2.1855150649200406E-2</v>
      </c>
    </row>
    <row r="65" spans="2:8" x14ac:dyDescent="0.3">
      <c r="B65" s="86">
        <v>45631</v>
      </c>
      <c r="C65" s="85">
        <v>1081.75</v>
      </c>
      <c r="D65" s="73">
        <f t="shared" si="2"/>
        <v>3.8884145662423375E-3</v>
      </c>
      <c r="E65" s="85"/>
      <c r="F65" s="86">
        <v>45631</v>
      </c>
      <c r="G65" s="85">
        <v>22466.1</v>
      </c>
      <c r="H65" s="73">
        <f t="shared" si="1"/>
        <v>1.8630527041241907E-2</v>
      </c>
    </row>
    <row r="66" spans="2:8" x14ac:dyDescent="0.3">
      <c r="B66" s="86">
        <v>45417</v>
      </c>
      <c r="C66" s="85">
        <v>1077.56</v>
      </c>
      <c r="D66" s="73">
        <f t="shared" si="2"/>
        <v>-3.0531243639323469E-3</v>
      </c>
      <c r="E66" s="85"/>
      <c r="F66" s="86">
        <v>45417</v>
      </c>
      <c r="G66" s="85">
        <v>22055.200000000001</v>
      </c>
      <c r="H66" s="73">
        <f t="shared" si="1"/>
        <v>-1.8715643679771743E-2</v>
      </c>
    </row>
    <row r="67" spans="2:8" x14ac:dyDescent="0.3">
      <c r="B67" t="s">
        <v>295</v>
      </c>
      <c r="C67" s="85">
        <v>1080.8599999999999</v>
      </c>
      <c r="D67" s="73">
        <f t="shared" si="2"/>
        <v>-7.5749924250075873E-3</v>
      </c>
      <c r="E67" s="85"/>
      <c r="F67" t="s">
        <v>295</v>
      </c>
      <c r="G67" s="85">
        <v>22475.85</v>
      </c>
      <c r="H67" s="73">
        <f t="shared" si="1"/>
        <v>2.4933151055197555E-3</v>
      </c>
    </row>
    <row r="68" spans="2:8" x14ac:dyDescent="0.3">
      <c r="B68" t="s">
        <v>297</v>
      </c>
      <c r="C68" s="85">
        <v>1089.1099999999999</v>
      </c>
      <c r="D68" s="73">
        <f t="shared" si="2"/>
        <v>-3.1152980527163421E-2</v>
      </c>
      <c r="E68" s="85"/>
      <c r="F68" t="s">
        <v>297</v>
      </c>
      <c r="G68" s="85">
        <v>22419.95</v>
      </c>
      <c r="H68" s="73">
        <f t="shared" si="1"/>
        <v>1.2324468325281002E-2</v>
      </c>
    </row>
    <row r="69" spans="2:8" x14ac:dyDescent="0.3">
      <c r="B69" t="s">
        <v>299</v>
      </c>
      <c r="C69" s="85">
        <v>1124.1300000000001</v>
      </c>
      <c r="D69" s="73">
        <f t="shared" si="2"/>
        <v>-9.8736942237566128E-3</v>
      </c>
      <c r="E69" s="85"/>
      <c r="F69" t="s">
        <v>299</v>
      </c>
      <c r="G69" s="85">
        <v>22147</v>
      </c>
      <c r="H69" s="73">
        <f t="shared" si="1"/>
        <v>-1.6536852669254087E-2</v>
      </c>
    </row>
    <row r="70" spans="2:8" x14ac:dyDescent="0.3">
      <c r="B70" s="86">
        <v>45477</v>
      </c>
      <c r="C70" s="85">
        <v>1135.3399999999999</v>
      </c>
      <c r="D70" s="73">
        <f t="shared" si="2"/>
        <v>3.0394336797204602E-2</v>
      </c>
      <c r="E70" s="85"/>
      <c r="F70" s="86">
        <v>45477</v>
      </c>
      <c r="G70" s="85">
        <v>22519.4</v>
      </c>
      <c r="H70" s="73">
        <f t="shared" si="1"/>
        <v>2.5317917534661838E-4</v>
      </c>
    </row>
    <row r="71" spans="2:8" x14ac:dyDescent="0.3">
      <c r="B71" t="s">
        <v>302</v>
      </c>
      <c r="C71" s="85">
        <v>1101.8499999999999</v>
      </c>
      <c r="D71" s="73">
        <f t="shared" si="2"/>
        <v>1.7649666586622814E-2</v>
      </c>
      <c r="E71" s="85"/>
      <c r="F71" t="s">
        <v>302</v>
      </c>
      <c r="G71" s="85">
        <v>22513.7</v>
      </c>
      <c r="H71" s="73">
        <f t="shared" si="1"/>
        <v>8.3665891816597782E-3</v>
      </c>
    </row>
    <row r="72" spans="2:8" x14ac:dyDescent="0.3">
      <c r="B72" t="s">
        <v>304</v>
      </c>
      <c r="C72" s="85">
        <v>1082.74</v>
      </c>
      <c r="D72" s="73">
        <f t="shared" ref="D72:D103" si="3">C72/C73-1</f>
        <v>-2.3652578518805756E-2</v>
      </c>
      <c r="E72" s="85"/>
      <c r="F72" t="s">
        <v>304</v>
      </c>
      <c r="G72" s="85">
        <v>22326.9</v>
      </c>
      <c r="H72" s="73">
        <f t="shared" si="1"/>
        <v>1.0415558849152129E-2</v>
      </c>
    </row>
    <row r="73" spans="2:8" x14ac:dyDescent="0.3">
      <c r="B73" t="s">
        <v>306</v>
      </c>
      <c r="C73" s="85">
        <v>1108.97</v>
      </c>
      <c r="D73" s="73">
        <f t="shared" si="3"/>
        <v>-7.3751117124792209E-2</v>
      </c>
      <c r="E73" s="85"/>
      <c r="F73" t="s">
        <v>306</v>
      </c>
      <c r="G73" s="85">
        <v>22096.75</v>
      </c>
      <c r="H73" s="73">
        <f t="shared" ref="H73:H110" si="4">G73/G74-1</f>
        <v>3.3328262957270649E-3</v>
      </c>
    </row>
    <row r="74" spans="2:8" x14ac:dyDescent="0.3">
      <c r="B74" s="86">
        <v>45568</v>
      </c>
      <c r="C74" s="85">
        <v>1197.27</v>
      </c>
      <c r="D74" s="73">
        <f t="shared" si="3"/>
        <v>-3.9155417877148713E-2</v>
      </c>
      <c r="E74" s="85"/>
      <c r="F74" s="86">
        <v>45568</v>
      </c>
      <c r="G74" s="85">
        <v>22023.35</v>
      </c>
      <c r="H74" s="73">
        <f t="shared" si="4"/>
        <v>-2.0903770191899484E-2</v>
      </c>
    </row>
    <row r="75" spans="2:8" x14ac:dyDescent="0.3">
      <c r="B75" s="86">
        <v>45354</v>
      </c>
      <c r="C75" s="85">
        <v>1246.06</v>
      </c>
      <c r="D75" s="73">
        <f t="shared" si="3"/>
        <v>5.0410533947026659E-2</v>
      </c>
      <c r="E75" s="85"/>
      <c r="F75" s="86">
        <v>45354</v>
      </c>
      <c r="G75" s="85">
        <v>22493.55</v>
      </c>
      <c r="H75" s="73">
        <f t="shared" si="4"/>
        <v>6.929662581836471E-3</v>
      </c>
    </row>
    <row r="76" spans="2:8" x14ac:dyDescent="0.3">
      <c r="B76" t="s">
        <v>310</v>
      </c>
      <c r="C76" s="85">
        <v>1186.26</v>
      </c>
      <c r="D76" s="73">
        <f t="shared" si="3"/>
        <v>3.5076697555101788E-2</v>
      </c>
      <c r="E76" s="85"/>
      <c r="F76" t="s">
        <v>310</v>
      </c>
      <c r="G76" s="85">
        <v>22338.75</v>
      </c>
      <c r="H76" s="73">
        <f t="shared" si="4"/>
        <v>5.6746816010659895E-3</v>
      </c>
    </row>
    <row r="77" spans="2:8" x14ac:dyDescent="0.3">
      <c r="B77" t="s">
        <v>312</v>
      </c>
      <c r="C77" s="85">
        <v>1146.06</v>
      </c>
      <c r="D77" s="73">
        <f t="shared" si="3"/>
        <v>1.120561869132497E-2</v>
      </c>
      <c r="E77" s="85"/>
      <c r="F77" t="s">
        <v>312</v>
      </c>
      <c r="G77" s="85">
        <v>22212.7</v>
      </c>
      <c r="H77" s="73">
        <f t="shared" si="4"/>
        <v>7.8037448901351336E-3</v>
      </c>
    </row>
    <row r="78" spans="2:8" x14ac:dyDescent="0.3">
      <c r="B78" s="86">
        <v>45598</v>
      </c>
      <c r="C78" s="85">
        <v>1133.3599999999999</v>
      </c>
      <c r="D78" s="73">
        <f t="shared" si="3"/>
        <v>1.6110956705726043E-2</v>
      </c>
      <c r="E78" s="85"/>
      <c r="F78" s="86">
        <v>45598</v>
      </c>
      <c r="G78" s="85">
        <v>22040.7</v>
      </c>
      <c r="H78" s="73">
        <f t="shared" si="4"/>
        <v>1.1853552163433978E-2</v>
      </c>
    </row>
    <row r="79" spans="2:8" x14ac:dyDescent="0.3">
      <c r="B79" s="86">
        <v>45384</v>
      </c>
      <c r="C79" s="85">
        <v>1115.3900000000001</v>
      </c>
      <c r="D79" s="73">
        <f t="shared" si="3"/>
        <v>-2.8803538620947755E-2</v>
      </c>
      <c r="E79" s="85"/>
      <c r="F79" s="86">
        <v>45384</v>
      </c>
      <c r="G79" s="85">
        <v>21782.5</v>
      </c>
      <c r="H79" s="73">
        <f t="shared" si="4"/>
        <v>-3.2625904876955047E-3</v>
      </c>
    </row>
    <row r="80" spans="2:8" x14ac:dyDescent="0.3">
      <c r="B80" t="s">
        <v>316</v>
      </c>
      <c r="C80" s="85">
        <v>1148.47</v>
      </c>
      <c r="D80" s="73">
        <f t="shared" si="3"/>
        <v>2.2871596647636716E-2</v>
      </c>
      <c r="E80" s="85"/>
      <c r="F80" t="s">
        <v>316</v>
      </c>
      <c r="G80" s="85">
        <v>21853.8</v>
      </c>
      <c r="H80" s="73">
        <f t="shared" si="4"/>
        <v>2.3472551352060167E-2</v>
      </c>
    </row>
    <row r="81" spans="2:8" x14ac:dyDescent="0.3">
      <c r="B81" t="s">
        <v>318</v>
      </c>
      <c r="C81" s="85">
        <v>1122.79</v>
      </c>
      <c r="D81" s="73">
        <f t="shared" si="3"/>
        <v>-2.1482604754932799E-2</v>
      </c>
      <c r="E81" s="85"/>
      <c r="F81" t="s">
        <v>318</v>
      </c>
      <c r="G81" s="85">
        <v>21352.6</v>
      </c>
      <c r="H81" s="73">
        <f t="shared" si="4"/>
        <v>-1.2477800799171379E-2</v>
      </c>
    </row>
    <row r="82" spans="2:8" x14ac:dyDescent="0.3">
      <c r="B82" t="s">
        <v>320</v>
      </c>
      <c r="C82" s="85">
        <v>1147.44</v>
      </c>
      <c r="D82" s="73">
        <f t="shared" si="3"/>
        <v>2.3323462354885027E-3</v>
      </c>
      <c r="E82" s="85"/>
      <c r="F82" t="s">
        <v>320</v>
      </c>
      <c r="G82" s="85">
        <v>21622.400000000001</v>
      </c>
      <c r="H82" s="73">
        <f t="shared" si="4"/>
        <v>-1.2430033958222397E-2</v>
      </c>
    </row>
    <row r="83" spans="2:8" x14ac:dyDescent="0.3">
      <c r="B83" s="86">
        <v>45474</v>
      </c>
      <c r="C83" s="85">
        <v>1144.77</v>
      </c>
      <c r="D83" s="73">
        <f t="shared" si="3"/>
        <v>3.2105377042085825E-2</v>
      </c>
      <c r="E83" s="85"/>
      <c r="F83" s="86">
        <v>45474</v>
      </c>
      <c r="G83" s="85">
        <v>21894.55</v>
      </c>
      <c r="H83" s="73">
        <f t="shared" si="4"/>
        <v>8.4635296718684749E-3</v>
      </c>
    </row>
    <row r="84" spans="2:8" x14ac:dyDescent="0.3">
      <c r="B84" t="s">
        <v>323</v>
      </c>
      <c r="C84" s="85">
        <v>1109.1600000000001</v>
      </c>
      <c r="D84" s="73">
        <f t="shared" si="3"/>
        <v>3.3256944832597446E-2</v>
      </c>
      <c r="E84" s="85"/>
      <c r="F84" t="s">
        <v>323</v>
      </c>
      <c r="G84" s="85">
        <v>21710.799999999999</v>
      </c>
      <c r="H84" s="73">
        <f t="shared" si="4"/>
        <v>-9.479370864280412E-4</v>
      </c>
    </row>
    <row r="85" spans="2:8" x14ac:dyDescent="0.3">
      <c r="B85" t="s">
        <v>325</v>
      </c>
      <c r="C85" s="85">
        <v>1073.46</v>
      </c>
      <c r="D85" s="73">
        <f t="shared" si="3"/>
        <v>9.4685960779514744E-2</v>
      </c>
      <c r="E85" s="85"/>
      <c r="F85" t="s">
        <v>325</v>
      </c>
      <c r="G85" s="85">
        <v>21731.4</v>
      </c>
      <c r="H85" s="73">
        <f t="shared" si="4"/>
        <v>1.7892774504201459E-2</v>
      </c>
    </row>
    <row r="86" spans="2:8" x14ac:dyDescent="0.3">
      <c r="B86" t="s">
        <v>327</v>
      </c>
      <c r="C86">
        <v>980.61</v>
      </c>
      <c r="D86" s="73">
        <f t="shared" si="3"/>
        <v>3.9905406265244192E-2</v>
      </c>
      <c r="F86" t="s">
        <v>327</v>
      </c>
      <c r="G86" s="85">
        <v>21349.4</v>
      </c>
      <c r="H86" s="73">
        <f t="shared" si="4"/>
        <v>-4.9984503638732525E-3</v>
      </c>
    </row>
    <row r="87" spans="2:8" x14ac:dyDescent="0.3">
      <c r="B87" s="86">
        <v>45211</v>
      </c>
      <c r="C87">
        <v>942.98</v>
      </c>
      <c r="D87" s="73">
        <f t="shared" si="3"/>
        <v>8.5563327557809377E-3</v>
      </c>
      <c r="F87" s="86">
        <v>45211</v>
      </c>
      <c r="G87" s="85">
        <v>21456.65</v>
      </c>
      <c r="H87" s="73">
        <f t="shared" si="4"/>
        <v>2.3236239472755438E-2</v>
      </c>
    </row>
    <row r="88" spans="2:8" x14ac:dyDescent="0.3">
      <c r="B88" s="86">
        <v>44997</v>
      </c>
      <c r="C88">
        <v>934.98</v>
      </c>
      <c r="D88" s="73">
        <f t="shared" si="3"/>
        <v>3.9730263723047887E-3</v>
      </c>
      <c r="F88" s="86">
        <v>44997</v>
      </c>
      <c r="G88" s="85">
        <v>20969.400000000001</v>
      </c>
      <c r="H88" s="73">
        <f t="shared" si="4"/>
        <v>3.4611380557433069E-2</v>
      </c>
    </row>
    <row r="89" spans="2:8" x14ac:dyDescent="0.3">
      <c r="B89" t="s">
        <v>331</v>
      </c>
      <c r="C89">
        <v>931.28</v>
      </c>
      <c r="D89" s="73">
        <f t="shared" si="3"/>
        <v>1.7214260747990151E-2</v>
      </c>
      <c r="F89" t="s">
        <v>331</v>
      </c>
      <c r="G89" s="85">
        <v>20267.900000000001</v>
      </c>
      <c r="H89" s="73">
        <f t="shared" si="4"/>
        <v>2.3905388816198414E-2</v>
      </c>
    </row>
    <row r="90" spans="2:8" x14ac:dyDescent="0.3">
      <c r="B90" t="s">
        <v>333</v>
      </c>
      <c r="C90">
        <v>915.52</v>
      </c>
      <c r="D90" s="73">
        <f t="shared" si="3"/>
        <v>-4.2418046159534706E-3</v>
      </c>
      <c r="F90" t="s">
        <v>333</v>
      </c>
      <c r="G90" s="85">
        <v>19794.7</v>
      </c>
      <c r="H90" s="73">
        <f t="shared" si="4"/>
        <v>3.1877476966115648E-3</v>
      </c>
    </row>
    <row r="91" spans="2:8" x14ac:dyDescent="0.3">
      <c r="B91" s="86">
        <v>45271</v>
      </c>
      <c r="C91">
        <v>919.42</v>
      </c>
      <c r="D91" s="73">
        <f t="shared" si="3"/>
        <v>1.9889294390398105E-2</v>
      </c>
      <c r="F91" s="86">
        <v>45271</v>
      </c>
      <c r="G91" s="85">
        <v>19731.8</v>
      </c>
      <c r="H91" s="73">
        <f t="shared" si="4"/>
        <v>1.5775777527818002E-2</v>
      </c>
    </row>
    <row r="92" spans="2:8" x14ac:dyDescent="0.3">
      <c r="B92" s="86">
        <v>45057</v>
      </c>
      <c r="C92">
        <v>901.49</v>
      </c>
      <c r="D92" s="73">
        <f t="shared" si="3"/>
        <v>-1.096977218331685E-3</v>
      </c>
      <c r="F92" s="86">
        <v>45057</v>
      </c>
      <c r="G92" s="85">
        <v>19425.349999999999</v>
      </c>
      <c r="H92" s="73">
        <f t="shared" si="4"/>
        <v>1.0127089118384225E-2</v>
      </c>
    </row>
    <row r="93" spans="2:8" x14ac:dyDescent="0.3">
      <c r="B93" t="s">
        <v>337</v>
      </c>
      <c r="C93">
        <v>902.48</v>
      </c>
      <c r="D93" s="73">
        <f t="shared" si="3"/>
        <v>2.5359025631703336E-2</v>
      </c>
      <c r="F93" t="s">
        <v>337</v>
      </c>
      <c r="G93" s="85">
        <v>19230.599999999999</v>
      </c>
      <c r="H93" s="73">
        <f t="shared" si="4"/>
        <v>9.6260615049414966E-3</v>
      </c>
    </row>
    <row r="94" spans="2:8" x14ac:dyDescent="0.3">
      <c r="B94" t="s">
        <v>339</v>
      </c>
      <c r="C94">
        <v>880.16</v>
      </c>
      <c r="D94" s="73">
        <f t="shared" si="3"/>
        <v>-8.7283621087722585E-3</v>
      </c>
      <c r="F94" t="s">
        <v>339</v>
      </c>
      <c r="G94" s="85">
        <v>19047.25</v>
      </c>
      <c r="H94" s="73">
        <f t="shared" si="4"/>
        <v>-2.5349683896503383E-2</v>
      </c>
    </row>
    <row r="95" spans="2:8" x14ac:dyDescent="0.3">
      <c r="B95" t="s">
        <v>341</v>
      </c>
      <c r="C95">
        <v>887.91</v>
      </c>
      <c r="D95" s="73">
        <f t="shared" si="3"/>
        <v>-1.5773604983705392E-2</v>
      </c>
      <c r="F95" t="s">
        <v>341</v>
      </c>
      <c r="G95" s="85">
        <v>19542.650000000001</v>
      </c>
      <c r="H95" s="73">
        <f t="shared" si="4"/>
        <v>-1.0551337776978809E-2</v>
      </c>
    </row>
    <row r="96" spans="2:8" x14ac:dyDescent="0.3">
      <c r="B96" s="86">
        <v>45148</v>
      </c>
      <c r="C96">
        <v>902.14</v>
      </c>
      <c r="D96" s="73">
        <f t="shared" si="3"/>
        <v>4.4131433663962216E-2</v>
      </c>
      <c r="F96" s="86">
        <v>45148</v>
      </c>
      <c r="G96" s="85">
        <v>19751.05</v>
      </c>
      <c r="H96" s="73">
        <f t="shared" si="4"/>
        <v>4.9634925076957881E-3</v>
      </c>
    </row>
    <row r="97" spans="2:8" x14ac:dyDescent="0.3">
      <c r="B97" s="86">
        <v>44936</v>
      </c>
      <c r="C97">
        <v>864.01</v>
      </c>
      <c r="D97" s="73">
        <f t="shared" si="3"/>
        <v>-2.4476695184325603E-3</v>
      </c>
      <c r="F97" s="86">
        <v>44936</v>
      </c>
      <c r="G97" s="85">
        <v>19653.5</v>
      </c>
      <c r="H97" s="73">
        <f t="shared" si="4"/>
        <v>7.7399774929598486E-4</v>
      </c>
    </row>
    <row r="98" spans="2:8" x14ac:dyDescent="0.3">
      <c r="B98" t="s">
        <v>344</v>
      </c>
      <c r="C98">
        <v>866.13</v>
      </c>
      <c r="D98" s="73">
        <f t="shared" si="3"/>
        <v>-9.6889165715074999E-4</v>
      </c>
      <c r="F98" t="s">
        <v>344</v>
      </c>
      <c r="G98" s="85">
        <v>19638.3</v>
      </c>
      <c r="H98" s="73">
        <f t="shared" si="4"/>
        <v>-1.8272615220402688E-3</v>
      </c>
    </row>
    <row r="99" spans="2:8" x14ac:dyDescent="0.3">
      <c r="B99" t="s">
        <v>345</v>
      </c>
      <c r="C99">
        <v>866.97</v>
      </c>
      <c r="D99" s="73">
        <f t="shared" si="3"/>
        <v>2.1036814425243744E-3</v>
      </c>
      <c r="F99" t="s">
        <v>345</v>
      </c>
      <c r="G99" s="85">
        <v>19674.25</v>
      </c>
      <c r="H99" s="73">
        <f t="shared" si="4"/>
        <v>-2.5658231954180599E-2</v>
      </c>
    </row>
    <row r="100" spans="2:8" x14ac:dyDescent="0.3">
      <c r="B100" s="86">
        <v>45208</v>
      </c>
      <c r="C100">
        <v>865.15</v>
      </c>
      <c r="D100" s="73">
        <f t="shared" si="3"/>
        <v>2.6725846456926439E-2</v>
      </c>
      <c r="F100" s="86">
        <v>45208</v>
      </c>
      <c r="G100" s="85">
        <v>20192.349999999999</v>
      </c>
      <c r="H100" s="73">
        <f t="shared" si="4"/>
        <v>1.8789149316723597E-2</v>
      </c>
    </row>
    <row r="101" spans="2:8" x14ac:dyDescent="0.3">
      <c r="B101" s="86">
        <v>44994</v>
      </c>
      <c r="C101">
        <v>842.63</v>
      </c>
      <c r="D101" s="73">
        <f t="shared" si="3"/>
        <v>1.0602189999880052E-2</v>
      </c>
      <c r="F101" s="86">
        <v>44994</v>
      </c>
      <c r="G101" s="85">
        <v>19819.95</v>
      </c>
      <c r="H101" s="73">
        <f t="shared" si="4"/>
        <v>1.9791307569216876E-2</v>
      </c>
    </row>
    <row r="102" spans="2:8" x14ac:dyDescent="0.3">
      <c r="B102" t="s">
        <v>349</v>
      </c>
      <c r="C102">
        <v>833.79</v>
      </c>
      <c r="D102" s="73">
        <f t="shared" si="3"/>
        <v>1.3936011090438072E-2</v>
      </c>
      <c r="F102" t="s">
        <v>349</v>
      </c>
      <c r="G102" s="85">
        <v>19435.3</v>
      </c>
      <c r="H102" s="73">
        <f t="shared" si="4"/>
        <v>8.7979736112697715E-3</v>
      </c>
    </row>
    <row r="103" spans="2:8" x14ac:dyDescent="0.3">
      <c r="B103" t="s">
        <v>351</v>
      </c>
      <c r="C103">
        <v>822.33</v>
      </c>
      <c r="D103" s="73">
        <f t="shared" si="3"/>
        <v>-1.187200346066497E-2</v>
      </c>
      <c r="F103" t="s">
        <v>351</v>
      </c>
      <c r="G103" s="85">
        <v>19265.8</v>
      </c>
      <c r="H103" s="73">
        <f t="shared" si="4"/>
        <v>-2.2967196008317758E-3</v>
      </c>
    </row>
    <row r="104" spans="2:8" x14ac:dyDescent="0.3">
      <c r="B104" t="s">
        <v>353</v>
      </c>
      <c r="C104">
        <v>832.21</v>
      </c>
      <c r="D104" s="73">
        <f t="shared" ref="D104:D110" si="5">C104/C105-1</f>
        <v>6.750299408441629E-3</v>
      </c>
      <c r="F104" t="s">
        <v>353</v>
      </c>
      <c r="G104" s="85">
        <v>19310.150000000001</v>
      </c>
      <c r="H104" s="73">
        <f t="shared" si="4"/>
        <v>-6.0813349598265454E-3</v>
      </c>
    </row>
    <row r="105" spans="2:8" x14ac:dyDescent="0.3">
      <c r="B105" s="86">
        <v>45085</v>
      </c>
      <c r="C105">
        <v>826.63</v>
      </c>
      <c r="D105" s="73">
        <f t="shared" si="5"/>
        <v>2.5225880783457111E-3</v>
      </c>
      <c r="F105" s="86">
        <v>45085</v>
      </c>
      <c r="G105" s="85">
        <v>19428.3</v>
      </c>
      <c r="H105" s="73">
        <f t="shared" si="4"/>
        <v>-4.5447558538710409E-3</v>
      </c>
    </row>
    <row r="106" spans="2:8" x14ac:dyDescent="0.3">
      <c r="B106" t="s">
        <v>356</v>
      </c>
      <c r="C106">
        <v>824.55</v>
      </c>
      <c r="D106" s="73">
        <f t="shared" si="5"/>
        <v>-2.8569745523091439E-2</v>
      </c>
      <c r="F106" t="s">
        <v>356</v>
      </c>
      <c r="G106" s="85">
        <v>19517</v>
      </c>
      <c r="H106" s="73">
        <f t="shared" si="4"/>
        <v>-6.568750461288575E-3</v>
      </c>
    </row>
    <row r="107" spans="2:8" x14ac:dyDescent="0.3">
      <c r="B107" t="s">
        <v>358</v>
      </c>
      <c r="C107">
        <v>848.8</v>
      </c>
      <c r="D107" s="73">
        <f t="shared" si="5"/>
        <v>8.2077230992172456E-3</v>
      </c>
      <c r="F107" t="s">
        <v>358</v>
      </c>
      <c r="G107" s="85">
        <v>19646.05</v>
      </c>
      <c r="H107" s="73">
        <f t="shared" si="4"/>
        <v>-5.0113952899468739E-3</v>
      </c>
    </row>
    <row r="108" spans="2:8" x14ac:dyDescent="0.3">
      <c r="B108" t="s">
        <v>360</v>
      </c>
      <c r="C108">
        <v>841.89</v>
      </c>
      <c r="D108" s="73">
        <f t="shared" si="5"/>
        <v>9.9875156054940462E-4</v>
      </c>
      <c r="F108" t="s">
        <v>360</v>
      </c>
      <c r="G108" s="85">
        <v>19745</v>
      </c>
      <c r="H108" s="73">
        <f t="shared" si="4"/>
        <v>9.225893838329613E-3</v>
      </c>
    </row>
    <row r="109" spans="2:8" x14ac:dyDescent="0.3">
      <c r="B109" s="86">
        <v>45176</v>
      </c>
      <c r="C109">
        <v>841.05</v>
      </c>
      <c r="D109" s="73">
        <f t="shared" si="5"/>
        <v>2.1907122548662228E-2</v>
      </c>
      <c r="F109" s="86">
        <v>45176</v>
      </c>
      <c r="G109" s="85">
        <v>19564.5</v>
      </c>
      <c r="H109" s="73">
        <f t="shared" si="4"/>
        <v>1.2037161567986399E-2</v>
      </c>
    </row>
    <row r="110" spans="2:8" x14ac:dyDescent="0.3">
      <c r="B110" s="86">
        <v>44964</v>
      </c>
      <c r="C110">
        <v>823.02</v>
      </c>
      <c r="D110" s="73">
        <f t="shared" si="5"/>
        <v>-3.2116942833958606E-2</v>
      </c>
      <c r="F110" s="86">
        <v>44964</v>
      </c>
      <c r="G110" s="85">
        <v>19331.8</v>
      </c>
      <c r="H110" s="73">
        <f t="shared" si="4"/>
        <v>7.4391384669902916E-3</v>
      </c>
    </row>
    <row r="111" spans="2:8" x14ac:dyDescent="0.3">
      <c r="B111" t="s">
        <v>363</v>
      </c>
      <c r="C111">
        <v>850.33</v>
      </c>
      <c r="D111" s="85"/>
      <c r="F111" t="s">
        <v>363</v>
      </c>
      <c r="G111" s="85">
        <v>19189.05</v>
      </c>
      <c r="H111" s="85"/>
    </row>
  </sheetData>
  <mergeCells count="1">
    <mergeCell ref="B6:D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DFF8-717F-469F-A45B-0E68602E302D}">
  <dimension ref="B2:G31"/>
  <sheetViews>
    <sheetView showGridLines="0" workbookViewId="0">
      <selection activeCell="E10" sqref="E10"/>
    </sheetView>
  </sheetViews>
  <sheetFormatPr defaultRowHeight="14.4" x14ac:dyDescent="0.3"/>
  <cols>
    <col min="1" max="1" width="1.88671875" customWidth="1"/>
    <col min="2" max="2" width="5" bestFit="1" customWidth="1"/>
    <col min="3" max="3" width="14.21875" customWidth="1"/>
  </cols>
  <sheetData>
    <row r="2" spans="2:7" x14ac:dyDescent="0.3">
      <c r="B2" s="2" t="s">
        <v>467</v>
      </c>
    </row>
    <row r="4" spans="2:7" x14ac:dyDescent="0.3">
      <c r="B4" s="9" t="s">
        <v>463</v>
      </c>
      <c r="C4" s="9"/>
      <c r="D4" s="9"/>
      <c r="E4" s="9"/>
      <c r="F4" s="9"/>
      <c r="G4" s="9"/>
    </row>
    <row r="6" spans="2:7" x14ac:dyDescent="0.3">
      <c r="B6" s="81" t="s">
        <v>461</v>
      </c>
      <c r="C6" s="81" t="s">
        <v>462</v>
      </c>
      <c r="E6" t="s">
        <v>464</v>
      </c>
      <c r="G6" s="41">
        <f>AVERAGE(C7:C31)</f>
        <v>0.15334799999999998</v>
      </c>
    </row>
    <row r="7" spans="2:7" x14ac:dyDescent="0.3">
      <c r="B7">
        <v>2000</v>
      </c>
      <c r="C7" s="73">
        <v>-0.14649999999999999</v>
      </c>
      <c r="E7" t="s">
        <v>465</v>
      </c>
      <c r="G7" s="41">
        <v>1.29E-2</v>
      </c>
    </row>
    <row r="8" spans="2:7" x14ac:dyDescent="0.3">
      <c r="B8">
        <v>2001</v>
      </c>
      <c r="C8" s="73">
        <v>-0.1618</v>
      </c>
      <c r="E8" s="78" t="s">
        <v>466</v>
      </c>
      <c r="F8" s="78"/>
      <c r="G8" s="79">
        <f>SUM(G6:G7)</f>
        <v>0.16624799999999998</v>
      </c>
    </row>
    <row r="9" spans="2:7" x14ac:dyDescent="0.3">
      <c r="B9">
        <v>2002</v>
      </c>
      <c r="C9" s="73">
        <v>3.2500000000000001E-2</v>
      </c>
    </row>
    <row r="10" spans="2:7" x14ac:dyDescent="0.3">
      <c r="B10">
        <v>2003</v>
      </c>
      <c r="C10" s="73">
        <v>0.71899999999999997</v>
      </c>
    </row>
    <row r="11" spans="2:7" x14ac:dyDescent="0.3">
      <c r="B11">
        <v>2004</v>
      </c>
      <c r="C11" s="73">
        <v>0.10680000000000001</v>
      </c>
    </row>
    <row r="12" spans="2:7" x14ac:dyDescent="0.3">
      <c r="B12">
        <v>2005</v>
      </c>
      <c r="C12" s="73">
        <v>0.3634</v>
      </c>
    </row>
    <row r="13" spans="2:7" x14ac:dyDescent="0.3">
      <c r="B13">
        <v>2006</v>
      </c>
      <c r="C13" s="73">
        <v>0.39829999999999999</v>
      </c>
    </row>
    <row r="14" spans="2:7" x14ac:dyDescent="0.3">
      <c r="B14">
        <v>2007</v>
      </c>
      <c r="C14" s="73">
        <v>0.54769999999999996</v>
      </c>
    </row>
    <row r="15" spans="2:7" x14ac:dyDescent="0.3">
      <c r="B15">
        <v>2008</v>
      </c>
      <c r="C15" s="73">
        <v>-0.51790000000000003</v>
      </c>
    </row>
    <row r="16" spans="2:7" x14ac:dyDescent="0.3">
      <c r="B16">
        <v>2009</v>
      </c>
      <c r="C16" s="73">
        <v>0.75760000000000005</v>
      </c>
    </row>
    <row r="17" spans="2:3" x14ac:dyDescent="0.3">
      <c r="B17">
        <v>2010</v>
      </c>
      <c r="C17" s="73">
        <v>0.17949999999999999</v>
      </c>
    </row>
    <row r="18" spans="2:3" x14ac:dyDescent="0.3">
      <c r="B18">
        <v>2011</v>
      </c>
      <c r="C18" s="73">
        <v>-0.2462</v>
      </c>
    </row>
    <row r="19" spans="2:3" x14ac:dyDescent="0.3">
      <c r="B19">
        <v>2012</v>
      </c>
      <c r="C19" s="73">
        <v>0.27700000000000002</v>
      </c>
    </row>
    <row r="20" spans="2:3" x14ac:dyDescent="0.3">
      <c r="B20">
        <v>2013</v>
      </c>
      <c r="C20" s="73">
        <v>6.7599999999999993E-2</v>
      </c>
    </row>
    <row r="21" spans="2:3" x14ac:dyDescent="0.3">
      <c r="B21">
        <v>2014</v>
      </c>
      <c r="C21" s="73">
        <v>0.31390000000000001</v>
      </c>
    </row>
    <row r="22" spans="2:3" x14ac:dyDescent="0.3">
      <c r="B22">
        <v>2015</v>
      </c>
      <c r="C22" s="73">
        <v>-4.0599999999999997E-2</v>
      </c>
    </row>
    <row r="23" spans="2:3" x14ac:dyDescent="0.3">
      <c r="B23">
        <v>2016</v>
      </c>
      <c r="C23" s="73">
        <v>3.0099999999999998E-2</v>
      </c>
    </row>
    <row r="24" spans="2:3" x14ac:dyDescent="0.3">
      <c r="B24">
        <v>2017</v>
      </c>
      <c r="C24" s="73">
        <v>0.28649999999999998</v>
      </c>
    </row>
    <row r="25" spans="2:3" x14ac:dyDescent="0.3">
      <c r="B25">
        <v>2018</v>
      </c>
      <c r="C25" s="73">
        <v>3.15E-2</v>
      </c>
    </row>
    <row r="26" spans="2:3" x14ac:dyDescent="0.3">
      <c r="B26">
        <v>2019</v>
      </c>
      <c r="C26" s="73">
        <v>0.1202</v>
      </c>
    </row>
    <row r="27" spans="2:3" x14ac:dyDescent="0.3">
      <c r="B27">
        <v>2020</v>
      </c>
      <c r="C27" s="73">
        <v>0.14899999999999999</v>
      </c>
    </row>
    <row r="28" spans="2:3" x14ac:dyDescent="0.3">
      <c r="B28">
        <v>2021</v>
      </c>
      <c r="C28" s="73">
        <v>0.2412</v>
      </c>
    </row>
    <row r="29" spans="2:3" x14ac:dyDescent="0.3">
      <c r="B29">
        <v>2022</v>
      </c>
      <c r="C29" s="73">
        <v>4.3200000000000002E-2</v>
      </c>
    </row>
    <row r="30" spans="2:3" x14ac:dyDescent="0.3">
      <c r="B30">
        <v>2023</v>
      </c>
      <c r="C30" s="73">
        <v>0.19420000000000001</v>
      </c>
    </row>
    <row r="31" spans="2:3" x14ac:dyDescent="0.3">
      <c r="B31">
        <v>2024</v>
      </c>
      <c r="C31" s="73">
        <v>8.7499999999999994E-2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54A2-CD44-4247-854B-FE13A07D7FDD}">
  <sheetPr>
    <tabColor rgb="FF002060"/>
  </sheetPr>
  <dimension ref="A1"/>
  <sheetViews>
    <sheetView topLeftCell="A65" workbookViewId="0">
      <selection activeCell="C1" sqref="C1"/>
    </sheetView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M93"/>
  <sheetViews>
    <sheetView zoomScaleNormal="120" zoomScalePageLayoutView="120" workbookViewId="0">
      <pane xSplit="1" ySplit="1" topLeftCell="B43" activePane="bottomRight" state="frozen"/>
      <selection activeCell="C4" sqref="C4"/>
      <selection pane="topRight" activeCell="C4" sqref="C4"/>
      <selection pane="bottomLeft" activeCell="C4" sqref="C4"/>
      <selection pane="bottomRight" activeCell="K70" sqref="K70"/>
    </sheetView>
  </sheetViews>
  <sheetFormatPr defaultColWidth="8.77734375" defaultRowHeight="14.4" x14ac:dyDescent="0.3"/>
  <cols>
    <col min="1" max="1" width="27.6640625" style="3" bestFit="1" customWidth="1"/>
    <col min="2" max="11" width="13.44140625" style="3" bestFit="1" customWidth="1"/>
    <col min="12" max="16384" width="8.77734375" style="3"/>
  </cols>
  <sheetData>
    <row r="1" spans="1:11" s="1" customFormat="1" x14ac:dyDescent="0.3">
      <c r="A1" s="1" t="s">
        <v>0</v>
      </c>
      <c r="B1" s="1" t="s">
        <v>36</v>
      </c>
      <c r="E1" s="194" t="str">
        <f>IF(B2&lt;&gt;B3, "A NEW VERSION OF THE WORKSHEET IS AVAILABLE", "")</f>
        <v/>
      </c>
      <c r="F1" s="194"/>
      <c r="G1" s="194"/>
      <c r="H1" s="194"/>
      <c r="I1" s="194"/>
      <c r="J1" s="194"/>
      <c r="K1" s="194"/>
    </row>
    <row r="2" spans="1:11" x14ac:dyDescent="0.3">
      <c r="A2" s="1" t="s">
        <v>34</v>
      </c>
      <c r="B2" s="3">
        <v>2.1</v>
      </c>
      <c r="E2" s="195" t="s">
        <v>22</v>
      </c>
      <c r="F2" s="195"/>
      <c r="G2" s="195"/>
      <c r="H2" s="195"/>
      <c r="I2" s="195"/>
      <c r="J2" s="195"/>
      <c r="K2" s="195"/>
    </row>
    <row r="3" spans="1:11" x14ac:dyDescent="0.3">
      <c r="A3" s="1" t="s">
        <v>35</v>
      </c>
      <c r="B3" s="3">
        <v>2.1</v>
      </c>
    </row>
    <row r="4" spans="1:11" x14ac:dyDescent="0.3">
      <c r="A4" s="1"/>
    </row>
    <row r="5" spans="1:11" x14ac:dyDescent="0.3">
      <c r="A5" s="1" t="s">
        <v>37</v>
      </c>
    </row>
    <row r="6" spans="1:11" x14ac:dyDescent="0.3">
      <c r="A6" s="3" t="s">
        <v>28</v>
      </c>
      <c r="B6" s="3">
        <f>IF(B9&gt;0, B9/B8, 0)</f>
        <v>98.951116420104754</v>
      </c>
    </row>
    <row r="7" spans="1:11" x14ac:dyDescent="0.3">
      <c r="A7" s="3" t="s">
        <v>17</v>
      </c>
      <c r="B7">
        <v>1</v>
      </c>
    </row>
    <row r="8" spans="1:11" x14ac:dyDescent="0.3">
      <c r="A8" s="3" t="s">
        <v>29</v>
      </c>
      <c r="B8">
        <v>1088.3</v>
      </c>
    </row>
    <row r="9" spans="1:11" x14ac:dyDescent="0.3">
      <c r="A9" s="3" t="s">
        <v>47</v>
      </c>
      <c r="B9">
        <v>107688.5</v>
      </c>
    </row>
    <row r="15" spans="1:11" x14ac:dyDescent="0.3">
      <c r="A15" s="1" t="s">
        <v>23</v>
      </c>
    </row>
    <row r="16" spans="1:11" s="7" customFormat="1" x14ac:dyDescent="0.3">
      <c r="A16" s="6" t="s">
        <v>24</v>
      </c>
      <c r="B16" s="5">
        <v>42460</v>
      </c>
      <c r="C16" s="5">
        <v>42825</v>
      </c>
      <c r="D16" s="5">
        <v>43190</v>
      </c>
      <c r="E16" s="5">
        <v>43555</v>
      </c>
      <c r="F16" s="5">
        <v>43921</v>
      </c>
      <c r="G16" s="5">
        <v>44286</v>
      </c>
      <c r="H16" s="5">
        <v>44651</v>
      </c>
      <c r="I16" s="5">
        <v>45016</v>
      </c>
      <c r="J16" s="5">
        <v>45382</v>
      </c>
      <c r="K16" s="5">
        <v>45747</v>
      </c>
    </row>
    <row r="17" spans="1:11" s="4" customFormat="1" x14ac:dyDescent="0.3">
      <c r="A17" s="4" t="s">
        <v>1</v>
      </c>
      <c r="B17">
        <v>6636.54</v>
      </c>
      <c r="C17">
        <v>6779.55</v>
      </c>
      <c r="D17">
        <v>6815.35</v>
      </c>
      <c r="E17">
        <v>7251.5</v>
      </c>
      <c r="F17">
        <v>9637.42</v>
      </c>
      <c r="G17">
        <v>11602.03</v>
      </c>
      <c r="H17">
        <v>12425.37</v>
      </c>
      <c r="I17">
        <v>13783.16</v>
      </c>
      <c r="J17">
        <v>15205.85</v>
      </c>
      <c r="K17">
        <v>17618.3</v>
      </c>
    </row>
    <row r="18" spans="1:11" s="4" customFormat="1" x14ac:dyDescent="0.3">
      <c r="A18" s="3" t="s">
        <v>48</v>
      </c>
      <c r="B18">
        <v>3601.49</v>
      </c>
      <c r="C18">
        <v>3165.65</v>
      </c>
      <c r="D18">
        <v>3746.11</v>
      </c>
      <c r="E18">
        <v>4022.05</v>
      </c>
      <c r="F18">
        <v>5402.9</v>
      </c>
      <c r="G18">
        <v>6367.79</v>
      </c>
      <c r="H18">
        <v>6323.22</v>
      </c>
      <c r="I18">
        <v>7107.06</v>
      </c>
      <c r="J18">
        <v>7364.06</v>
      </c>
      <c r="K18">
        <v>8986.68</v>
      </c>
    </row>
    <row r="19" spans="1:11" s="4" customFormat="1" x14ac:dyDescent="0.3">
      <c r="A19" s="3" t="s">
        <v>49</v>
      </c>
      <c r="B19">
        <v>-20.11</v>
      </c>
      <c r="C19">
        <v>0.69</v>
      </c>
      <c r="D19">
        <v>46.8</v>
      </c>
      <c r="E19">
        <v>14.41</v>
      </c>
      <c r="F19">
        <v>-7.78</v>
      </c>
      <c r="G19">
        <v>149.54</v>
      </c>
      <c r="H19">
        <v>39.78</v>
      </c>
      <c r="I19">
        <v>273.88</v>
      </c>
      <c r="J19">
        <v>121.6</v>
      </c>
      <c r="K19">
        <v>362.49</v>
      </c>
    </row>
    <row r="20" spans="1:11" s="4" customFormat="1" x14ac:dyDescent="0.3">
      <c r="A20" s="3" t="s">
        <v>50</v>
      </c>
      <c r="B20">
        <v>81.260000000000005</v>
      </c>
      <c r="C20">
        <v>83.19</v>
      </c>
      <c r="D20">
        <v>87.07</v>
      </c>
      <c r="E20">
        <v>89.28</v>
      </c>
      <c r="F20">
        <v>103.84</v>
      </c>
      <c r="G20">
        <v>97.36</v>
      </c>
      <c r="H20">
        <v>123.9</v>
      </c>
      <c r="I20">
        <v>149.43</v>
      </c>
      <c r="J20">
        <v>156.9</v>
      </c>
      <c r="K20">
        <v>156.21</v>
      </c>
    </row>
    <row r="21" spans="1:11" s="4" customFormat="1" x14ac:dyDescent="0.3">
      <c r="A21" s="3" t="s">
        <v>51</v>
      </c>
      <c r="B21">
        <v>190.32</v>
      </c>
      <c r="C21">
        <v>597.61</v>
      </c>
      <c r="D21">
        <v>194.69</v>
      </c>
      <c r="E21">
        <v>209.59</v>
      </c>
      <c r="F21">
        <v>238.47</v>
      </c>
      <c r="G21">
        <v>941.75</v>
      </c>
      <c r="H21">
        <v>1139.5899999999999</v>
      </c>
      <c r="I21">
        <v>1578.2</v>
      </c>
      <c r="J21">
        <v>1696.28</v>
      </c>
      <c r="K21">
        <v>1882.25</v>
      </c>
    </row>
    <row r="22" spans="1:11" s="4" customFormat="1" x14ac:dyDescent="0.3">
      <c r="A22" s="3" t="s">
        <v>52</v>
      </c>
      <c r="B22">
        <v>805.06</v>
      </c>
      <c r="C22">
        <v>834.95</v>
      </c>
      <c r="D22">
        <v>821.37</v>
      </c>
      <c r="E22">
        <v>806.3</v>
      </c>
      <c r="F22">
        <v>884.8</v>
      </c>
      <c r="G22">
        <v>970.23</v>
      </c>
      <c r="H22">
        <v>1048</v>
      </c>
      <c r="I22">
        <v>1120.3599999999999</v>
      </c>
      <c r="J22">
        <v>1258.5899999999999</v>
      </c>
      <c r="K22">
        <v>1430.1</v>
      </c>
    </row>
    <row r="23" spans="1:11" s="4" customFormat="1" x14ac:dyDescent="0.3">
      <c r="A23" s="3" t="s">
        <v>53</v>
      </c>
      <c r="B23">
        <v>922.88</v>
      </c>
      <c r="C23">
        <v>926.92</v>
      </c>
      <c r="D23">
        <v>857.64</v>
      </c>
      <c r="E23">
        <v>968.23</v>
      </c>
      <c r="F23">
        <v>1278.1600000000001</v>
      </c>
      <c r="G23">
        <v>1421.46</v>
      </c>
      <c r="H23">
        <v>1691.83</v>
      </c>
      <c r="I23">
        <v>1785.26</v>
      </c>
      <c r="J23">
        <v>1927.15</v>
      </c>
      <c r="K23">
        <v>2253.37</v>
      </c>
    </row>
    <row r="24" spans="1:11" s="4" customFormat="1" x14ac:dyDescent="0.3">
      <c r="A24" s="3" t="s">
        <v>54</v>
      </c>
      <c r="B24">
        <v>649.51</v>
      </c>
      <c r="C24">
        <v>380.79</v>
      </c>
      <c r="D24">
        <v>316.36</v>
      </c>
      <c r="E24">
        <v>384.55</v>
      </c>
      <c r="F24">
        <v>429.32</v>
      </c>
      <c r="G24">
        <v>409.22</v>
      </c>
      <c r="H24">
        <v>419.83</v>
      </c>
      <c r="I24">
        <v>460.26</v>
      </c>
      <c r="J24">
        <v>640.37</v>
      </c>
      <c r="K24">
        <v>792.83</v>
      </c>
    </row>
    <row r="25" spans="1:11" s="4" customFormat="1" x14ac:dyDescent="0.3">
      <c r="A25" s="4" t="s">
        <v>4</v>
      </c>
      <c r="B25">
        <v>37.54</v>
      </c>
      <c r="C25">
        <v>88.4</v>
      </c>
      <c r="D25">
        <v>73.02</v>
      </c>
      <c r="E25">
        <v>123.84</v>
      </c>
      <c r="F25">
        <v>-163.19999999999999</v>
      </c>
      <c r="G25">
        <v>90.73</v>
      </c>
      <c r="H25">
        <v>88</v>
      </c>
      <c r="I25">
        <v>328.33</v>
      </c>
      <c r="J25">
        <v>-81.42</v>
      </c>
      <c r="K25">
        <v>188.14</v>
      </c>
    </row>
    <row r="26" spans="1:11" s="4" customFormat="1" x14ac:dyDescent="0.3">
      <c r="A26" s="4" t="s">
        <v>5</v>
      </c>
      <c r="B26">
        <v>116.79</v>
      </c>
      <c r="C26">
        <v>126.04</v>
      </c>
      <c r="D26">
        <v>116.04</v>
      </c>
      <c r="E26">
        <v>122.57</v>
      </c>
      <c r="F26">
        <v>241.71</v>
      </c>
      <c r="G26">
        <v>254.74</v>
      </c>
      <c r="H26">
        <v>278.01</v>
      </c>
      <c r="I26">
        <v>304.08</v>
      </c>
      <c r="J26">
        <v>377.15</v>
      </c>
      <c r="K26">
        <v>600.74</v>
      </c>
    </row>
    <row r="27" spans="1:11" s="4" customFormat="1" x14ac:dyDescent="0.3">
      <c r="A27" s="4" t="s">
        <v>6</v>
      </c>
      <c r="B27">
        <v>116.9</v>
      </c>
      <c r="C27">
        <v>91.53</v>
      </c>
      <c r="D27">
        <v>42.76</v>
      </c>
      <c r="E27">
        <v>52.47</v>
      </c>
      <c r="F27">
        <v>77.86</v>
      </c>
      <c r="G27">
        <v>68.69</v>
      </c>
      <c r="H27">
        <v>72.78</v>
      </c>
      <c r="I27">
        <v>87.16</v>
      </c>
      <c r="J27">
        <v>129.81</v>
      </c>
      <c r="K27">
        <v>290.2</v>
      </c>
    </row>
    <row r="28" spans="1:11" s="4" customFormat="1" x14ac:dyDescent="0.3">
      <c r="A28" s="4" t="s">
        <v>7</v>
      </c>
      <c r="B28">
        <v>169.76</v>
      </c>
      <c r="C28">
        <v>661.96</v>
      </c>
      <c r="D28">
        <v>753.13</v>
      </c>
      <c r="E28">
        <v>734.71</v>
      </c>
      <c r="F28">
        <v>809.38</v>
      </c>
      <c r="G28">
        <v>1311.06</v>
      </c>
      <c r="H28">
        <v>1455.99</v>
      </c>
      <c r="I28">
        <v>1793.56</v>
      </c>
      <c r="J28">
        <v>1695.72</v>
      </c>
      <c r="K28">
        <v>1776.55</v>
      </c>
    </row>
    <row r="29" spans="1:11" s="4" customFormat="1" x14ac:dyDescent="0.3">
      <c r="A29" s="4" t="s">
        <v>8</v>
      </c>
      <c r="B29">
        <v>200.01</v>
      </c>
      <c r="C29">
        <v>198.31</v>
      </c>
      <c r="D29">
        <v>185.87</v>
      </c>
      <c r="E29">
        <v>260.88</v>
      </c>
      <c r="F29">
        <v>274.19</v>
      </c>
      <c r="G29">
        <v>317.27</v>
      </c>
      <c r="H29">
        <v>377.04</v>
      </c>
      <c r="I29">
        <v>447.04</v>
      </c>
      <c r="J29">
        <v>394.73</v>
      </c>
      <c r="K29">
        <v>396.24</v>
      </c>
    </row>
    <row r="30" spans="1:11" s="4" customFormat="1" x14ac:dyDescent="0.3">
      <c r="A30" s="4" t="s">
        <v>9</v>
      </c>
      <c r="B30">
        <v>-5.52</v>
      </c>
      <c r="C30">
        <v>389.44</v>
      </c>
      <c r="D30">
        <v>495.56</v>
      </c>
      <c r="E30">
        <v>408.19</v>
      </c>
      <c r="F30">
        <v>459.76</v>
      </c>
      <c r="G30">
        <v>856.69</v>
      </c>
      <c r="H30">
        <v>935.78</v>
      </c>
      <c r="I30">
        <v>1203.77</v>
      </c>
      <c r="J30">
        <v>1150.33</v>
      </c>
      <c r="K30">
        <v>1278.47</v>
      </c>
    </row>
    <row r="31" spans="1:11" s="4" customFormat="1" x14ac:dyDescent="0.3">
      <c r="A31" s="4" t="s">
        <v>38</v>
      </c>
      <c r="B31">
        <v>142</v>
      </c>
      <c r="C31">
        <v>148.31</v>
      </c>
      <c r="D31">
        <v>148.31</v>
      </c>
      <c r="E31">
        <v>157.78</v>
      </c>
      <c r="F31">
        <v>248.83</v>
      </c>
      <c r="G31">
        <v>373.25</v>
      </c>
      <c r="H31">
        <v>557.57000000000005</v>
      </c>
      <c r="I31">
        <v>785</v>
      </c>
      <c r="J31">
        <v>738.42</v>
      </c>
      <c r="K31">
        <v>816.34</v>
      </c>
    </row>
    <row r="32" spans="1:11" s="4" customFormat="1" x14ac:dyDescent="0.3"/>
    <row r="33" spans="1:11" x14ac:dyDescent="0.3">
      <c r="A33" s="4"/>
    </row>
    <row r="34" spans="1:11" x14ac:dyDescent="0.3">
      <c r="A34" s="4"/>
    </row>
    <row r="35" spans="1:11" x14ac:dyDescent="0.3">
      <c r="A35" s="4"/>
    </row>
    <row r="36" spans="1:11" x14ac:dyDescent="0.3">
      <c r="A36" s="4"/>
    </row>
    <row r="37" spans="1:11" x14ac:dyDescent="0.3">
      <c r="A37" s="4"/>
    </row>
    <row r="38" spans="1:11" x14ac:dyDescent="0.3">
      <c r="A38" s="4"/>
    </row>
    <row r="39" spans="1:11" x14ac:dyDescent="0.3">
      <c r="A39" s="4"/>
    </row>
    <row r="40" spans="1:11" x14ac:dyDescent="0.3">
      <c r="A40" s="1" t="s">
        <v>25</v>
      </c>
    </row>
    <row r="41" spans="1:11" s="7" customFormat="1" x14ac:dyDescent="0.3">
      <c r="A41" s="6" t="s">
        <v>24</v>
      </c>
      <c r="B41" s="5">
        <v>44926</v>
      </c>
      <c r="C41" s="5">
        <v>45016</v>
      </c>
      <c r="D41" s="5">
        <v>45107</v>
      </c>
      <c r="E41" s="5">
        <v>45199</v>
      </c>
      <c r="F41" s="5">
        <v>45291</v>
      </c>
      <c r="G41" s="5">
        <v>45382</v>
      </c>
      <c r="H41" s="5">
        <v>45473</v>
      </c>
      <c r="I41" s="5">
        <v>45565</v>
      </c>
      <c r="J41" s="5">
        <v>45657</v>
      </c>
      <c r="K41" s="5">
        <v>45747</v>
      </c>
    </row>
    <row r="42" spans="1:11" s="4" customFormat="1" x14ac:dyDescent="0.3">
      <c r="A42" s="4" t="s">
        <v>1</v>
      </c>
      <c r="B42">
        <v>3474.55</v>
      </c>
      <c r="C42">
        <v>3618.73</v>
      </c>
      <c r="D42">
        <v>3741.21</v>
      </c>
      <c r="E42">
        <v>3733.78</v>
      </c>
      <c r="F42">
        <v>3803.92</v>
      </c>
      <c r="G42">
        <v>3926.94</v>
      </c>
      <c r="H42">
        <v>4352.07</v>
      </c>
      <c r="I42">
        <v>4214.45</v>
      </c>
      <c r="J42">
        <v>4443.5600000000004</v>
      </c>
      <c r="K42">
        <v>4608.22</v>
      </c>
    </row>
    <row r="43" spans="1:11" s="4" customFormat="1" x14ac:dyDescent="0.3">
      <c r="A43" s="4" t="s">
        <v>2</v>
      </c>
      <c r="B43">
        <v>3020.89</v>
      </c>
      <c r="C43">
        <v>3107.06</v>
      </c>
      <c r="D43">
        <v>3196.18</v>
      </c>
      <c r="E43">
        <v>3196.69</v>
      </c>
      <c r="F43">
        <v>3231.54</v>
      </c>
      <c r="G43">
        <v>3297.34</v>
      </c>
      <c r="H43">
        <v>3684.69</v>
      </c>
      <c r="I43">
        <v>3588.16</v>
      </c>
      <c r="J43">
        <v>3878.83</v>
      </c>
      <c r="K43">
        <v>3987.27</v>
      </c>
    </row>
    <row r="44" spans="1:11" s="4" customFormat="1" x14ac:dyDescent="0.3">
      <c r="A44" s="4" t="s">
        <v>4</v>
      </c>
      <c r="B44">
        <v>127.5</v>
      </c>
      <c r="C44">
        <v>48.93</v>
      </c>
      <c r="D44">
        <v>52.59</v>
      </c>
      <c r="E44">
        <v>75.28</v>
      </c>
      <c r="F44">
        <v>-31.94</v>
      </c>
      <c r="G44">
        <v>-177.35</v>
      </c>
      <c r="H44">
        <v>22.07</v>
      </c>
      <c r="I44">
        <v>18.8</v>
      </c>
      <c r="J44">
        <v>45.44</v>
      </c>
      <c r="K44">
        <v>101.83</v>
      </c>
    </row>
    <row r="45" spans="1:11" s="4" customFormat="1" x14ac:dyDescent="0.3">
      <c r="A45" s="4" t="s">
        <v>5</v>
      </c>
      <c r="B45">
        <v>75.16</v>
      </c>
      <c r="C45">
        <v>82.86</v>
      </c>
      <c r="D45">
        <v>81.95</v>
      </c>
      <c r="E45">
        <v>93.93</v>
      </c>
      <c r="F45">
        <v>85.51</v>
      </c>
      <c r="G45">
        <v>115.76</v>
      </c>
      <c r="H45">
        <v>148</v>
      </c>
      <c r="I45">
        <v>149.33000000000001</v>
      </c>
      <c r="J45">
        <v>150.32</v>
      </c>
      <c r="K45">
        <v>153.09</v>
      </c>
    </row>
    <row r="46" spans="1:11" s="4" customFormat="1" x14ac:dyDescent="0.3">
      <c r="A46" s="4" t="s">
        <v>6</v>
      </c>
      <c r="B46">
        <v>23.68</v>
      </c>
      <c r="C46">
        <v>27.66</v>
      </c>
      <c r="D46">
        <v>26.23</v>
      </c>
      <c r="E46">
        <v>27.56</v>
      </c>
      <c r="F46">
        <v>33.19</v>
      </c>
      <c r="G46">
        <v>42.83</v>
      </c>
      <c r="H46">
        <v>93.6</v>
      </c>
      <c r="I46">
        <v>98.69</v>
      </c>
      <c r="J46">
        <v>57.92</v>
      </c>
      <c r="K46">
        <v>39.99</v>
      </c>
    </row>
    <row r="47" spans="1:11" s="4" customFormat="1" x14ac:dyDescent="0.3">
      <c r="A47" s="4" t="s">
        <v>7</v>
      </c>
      <c r="B47">
        <v>482.32</v>
      </c>
      <c r="C47">
        <v>450.08</v>
      </c>
      <c r="D47">
        <v>489.44</v>
      </c>
      <c r="E47">
        <v>490.88</v>
      </c>
      <c r="F47">
        <v>421.74</v>
      </c>
      <c r="G47">
        <v>293.66000000000003</v>
      </c>
      <c r="H47">
        <v>447.85</v>
      </c>
      <c r="I47">
        <v>397.07</v>
      </c>
      <c r="J47">
        <v>401.93</v>
      </c>
      <c r="K47">
        <v>529.70000000000005</v>
      </c>
    </row>
    <row r="48" spans="1:11" s="4" customFormat="1" x14ac:dyDescent="0.3">
      <c r="A48" s="4" t="s">
        <v>8</v>
      </c>
      <c r="B48">
        <v>112.87</v>
      </c>
      <c r="C48">
        <v>104.5</v>
      </c>
      <c r="D48">
        <v>130.87</v>
      </c>
      <c r="E48">
        <v>131.69999999999999</v>
      </c>
      <c r="F48">
        <v>106.21</v>
      </c>
      <c r="G48">
        <v>25.95</v>
      </c>
      <c r="H48">
        <v>133.69999999999999</v>
      </c>
      <c r="I48">
        <v>37.729999999999997</v>
      </c>
      <c r="J48">
        <v>102.18</v>
      </c>
      <c r="K48">
        <v>122.63</v>
      </c>
    </row>
    <row r="49" spans="1:13" s="4" customFormat="1" x14ac:dyDescent="0.3">
      <c r="A49" s="4" t="s">
        <v>9</v>
      </c>
      <c r="B49">
        <v>351.76</v>
      </c>
      <c r="C49">
        <v>268.58999999999997</v>
      </c>
      <c r="D49">
        <v>316.58999999999997</v>
      </c>
      <c r="E49">
        <v>338.24</v>
      </c>
      <c r="F49">
        <v>278.87</v>
      </c>
      <c r="G49">
        <v>216.63</v>
      </c>
      <c r="H49">
        <v>290.32</v>
      </c>
      <c r="I49">
        <v>364.42</v>
      </c>
      <c r="J49">
        <v>278.88</v>
      </c>
      <c r="K49">
        <v>344.85</v>
      </c>
    </row>
    <row r="50" spans="1:13" x14ac:dyDescent="0.3">
      <c r="A50" s="4" t="s">
        <v>3</v>
      </c>
      <c r="B50">
        <v>453.66</v>
      </c>
      <c r="C50">
        <v>511.67</v>
      </c>
      <c r="D50">
        <v>545.03</v>
      </c>
      <c r="E50">
        <v>537.09</v>
      </c>
      <c r="F50">
        <v>572.38</v>
      </c>
      <c r="G50">
        <v>629.6</v>
      </c>
      <c r="H50">
        <v>667.38</v>
      </c>
      <c r="I50">
        <v>626.29</v>
      </c>
      <c r="J50">
        <v>564.73</v>
      </c>
      <c r="K50">
        <v>620.95000000000005</v>
      </c>
    </row>
    <row r="51" spans="1:13" x14ac:dyDescent="0.3">
      <c r="A51" s="4"/>
    </row>
    <row r="52" spans="1:13" x14ac:dyDescent="0.3">
      <c r="A52" s="4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65"/>
      <c r="M52" s="65"/>
    </row>
    <row r="53" spans="1:13" x14ac:dyDescent="0.3">
      <c r="A53" s="4"/>
    </row>
    <row r="54" spans="1:13" x14ac:dyDescent="0.3">
      <c r="A54" s="4"/>
    </row>
    <row r="55" spans="1:13" x14ac:dyDescent="0.3">
      <c r="A55" s="1" t="s">
        <v>26</v>
      </c>
    </row>
    <row r="56" spans="1:13" s="7" customFormat="1" x14ac:dyDescent="0.3">
      <c r="A56" s="6" t="s">
        <v>24</v>
      </c>
      <c r="B56" s="5">
        <v>42460</v>
      </c>
      <c r="C56" s="5">
        <v>42825</v>
      </c>
      <c r="D56" s="5">
        <v>43190</v>
      </c>
      <c r="E56" s="5">
        <v>43555</v>
      </c>
      <c r="F56" s="5">
        <v>43921</v>
      </c>
      <c r="G56" s="5">
        <v>44286</v>
      </c>
      <c r="H56" s="5">
        <v>44651</v>
      </c>
      <c r="I56" s="5">
        <v>45016</v>
      </c>
      <c r="J56" s="5">
        <v>45382</v>
      </c>
      <c r="K56" s="5">
        <v>45747</v>
      </c>
    </row>
    <row r="57" spans="1:13" x14ac:dyDescent="0.3">
      <c r="A57" s="4" t="s">
        <v>11</v>
      </c>
      <c r="B57">
        <v>63.11</v>
      </c>
      <c r="C57">
        <v>63.11</v>
      </c>
      <c r="D57">
        <v>63.11</v>
      </c>
      <c r="E57">
        <v>63.11</v>
      </c>
      <c r="F57">
        <v>92.16</v>
      </c>
      <c r="G57">
        <v>92.16</v>
      </c>
      <c r="H57">
        <v>92.16</v>
      </c>
      <c r="I57">
        <v>92.9</v>
      </c>
      <c r="J57">
        <v>95.28</v>
      </c>
      <c r="K57">
        <v>98.95</v>
      </c>
    </row>
    <row r="58" spans="1:13" x14ac:dyDescent="0.3">
      <c r="A58" s="4" t="s">
        <v>12</v>
      </c>
      <c r="B58">
        <v>6184.06</v>
      </c>
      <c r="C58">
        <v>6202.39</v>
      </c>
      <c r="D58">
        <v>6968.49</v>
      </c>
      <c r="E58">
        <v>7268.58</v>
      </c>
      <c r="F58">
        <v>13722.7</v>
      </c>
      <c r="G58">
        <v>14442.35</v>
      </c>
      <c r="H58">
        <v>15049.78</v>
      </c>
      <c r="I58">
        <v>16183.81</v>
      </c>
      <c r="J58">
        <v>15961.51</v>
      </c>
      <c r="K58">
        <v>19902.13</v>
      </c>
    </row>
    <row r="59" spans="1:13" x14ac:dyDescent="0.3">
      <c r="A59" s="4" t="s">
        <v>39</v>
      </c>
      <c r="B59">
        <v>1354.05</v>
      </c>
      <c r="C59">
        <v>786.56</v>
      </c>
      <c r="D59">
        <v>1067.58</v>
      </c>
      <c r="E59">
        <v>1141.0999999999999</v>
      </c>
      <c r="F59">
        <v>1586.32</v>
      </c>
      <c r="G59">
        <v>1633.55</v>
      </c>
      <c r="H59">
        <v>1412.01</v>
      </c>
      <c r="I59">
        <v>1600.04</v>
      </c>
      <c r="J59">
        <v>3477.22</v>
      </c>
      <c r="K59">
        <v>2392.6799999999998</v>
      </c>
    </row>
    <row r="60" spans="1:13" x14ac:dyDescent="0.3">
      <c r="A60" s="4" t="s">
        <v>40</v>
      </c>
      <c r="B60">
        <v>2293.54</v>
      </c>
      <c r="C60">
        <v>2499.35</v>
      </c>
      <c r="D60">
        <v>2361.58</v>
      </c>
      <c r="E60">
        <v>2407.89</v>
      </c>
      <c r="F60">
        <v>3071.86</v>
      </c>
      <c r="G60">
        <v>4049.76</v>
      </c>
      <c r="H60">
        <v>4520.92</v>
      </c>
      <c r="I60">
        <v>4885.74</v>
      </c>
      <c r="J60">
        <v>8344.7800000000007</v>
      </c>
      <c r="K60">
        <v>9436.86</v>
      </c>
    </row>
    <row r="61" spans="1:13" s="1" customFormat="1" x14ac:dyDescent="0.3">
      <c r="A61" s="1" t="s">
        <v>13</v>
      </c>
      <c r="B61">
        <v>9894.76</v>
      </c>
      <c r="C61">
        <v>9551.41</v>
      </c>
      <c r="D61">
        <v>10460.76</v>
      </c>
      <c r="E61">
        <v>10880.68</v>
      </c>
      <c r="F61">
        <v>18473.04</v>
      </c>
      <c r="G61">
        <v>20217.82</v>
      </c>
      <c r="H61">
        <v>21074.87</v>
      </c>
      <c r="I61">
        <v>22762.49</v>
      </c>
      <c r="J61">
        <v>27878.79</v>
      </c>
      <c r="K61">
        <v>31830.62</v>
      </c>
    </row>
    <row r="62" spans="1:13" x14ac:dyDescent="0.3">
      <c r="A62" s="4" t="s">
        <v>14</v>
      </c>
      <c r="B62">
        <v>4661.8</v>
      </c>
      <c r="C62">
        <v>4572.59</v>
      </c>
      <c r="D62">
        <v>4798.18</v>
      </c>
      <c r="E62">
        <v>4913.3100000000004</v>
      </c>
      <c r="F62">
        <v>11656.04</v>
      </c>
      <c r="G62">
        <v>12023.13</v>
      </c>
      <c r="H62">
        <v>12599.35</v>
      </c>
      <c r="I62">
        <v>13070.04</v>
      </c>
      <c r="J62">
        <v>19357.900000000001</v>
      </c>
      <c r="K62">
        <v>21476.84</v>
      </c>
    </row>
    <row r="63" spans="1:13" x14ac:dyDescent="0.3">
      <c r="A63" s="4" t="s">
        <v>15</v>
      </c>
      <c r="B63">
        <v>39.42</v>
      </c>
      <c r="C63">
        <v>63.19</v>
      </c>
      <c r="D63">
        <v>135.16</v>
      </c>
      <c r="E63">
        <v>424.41</v>
      </c>
      <c r="F63">
        <v>95.35</v>
      </c>
      <c r="G63">
        <v>112.85</v>
      </c>
      <c r="H63">
        <v>246.97</v>
      </c>
      <c r="I63">
        <v>294.89999999999998</v>
      </c>
      <c r="J63">
        <v>189.6</v>
      </c>
      <c r="K63">
        <v>218.1</v>
      </c>
    </row>
    <row r="64" spans="1:13" x14ac:dyDescent="0.3">
      <c r="A64" s="4" t="s">
        <v>16</v>
      </c>
      <c r="B64">
        <v>1365.94</v>
      </c>
      <c r="C64">
        <v>1451.04</v>
      </c>
      <c r="D64">
        <v>1161.33</v>
      </c>
      <c r="E64">
        <v>1187.6600000000001</v>
      </c>
      <c r="F64">
        <v>1322.85</v>
      </c>
      <c r="G64">
        <v>805.89</v>
      </c>
      <c r="H64">
        <v>797.28</v>
      </c>
      <c r="I64">
        <v>1432.97</v>
      </c>
      <c r="J64">
        <v>870.55</v>
      </c>
      <c r="K64">
        <v>968.67</v>
      </c>
    </row>
    <row r="65" spans="1:11" x14ac:dyDescent="0.3">
      <c r="A65" s="4" t="s">
        <v>41</v>
      </c>
      <c r="B65">
        <v>3827.6</v>
      </c>
      <c r="C65">
        <v>3464.59</v>
      </c>
      <c r="D65">
        <v>4366.09</v>
      </c>
      <c r="E65">
        <v>4355.3</v>
      </c>
      <c r="F65">
        <v>5398.8</v>
      </c>
      <c r="G65">
        <v>7275.95</v>
      </c>
      <c r="H65">
        <v>7431.27</v>
      </c>
      <c r="I65">
        <v>7964.58</v>
      </c>
      <c r="J65">
        <v>7460.74</v>
      </c>
      <c r="K65">
        <v>9167.01</v>
      </c>
    </row>
    <row r="66" spans="1:11" s="1" customFormat="1" x14ac:dyDescent="0.3">
      <c r="A66" s="1" t="s">
        <v>13</v>
      </c>
      <c r="B66">
        <v>9894.76</v>
      </c>
      <c r="C66">
        <v>9551.41</v>
      </c>
      <c r="D66">
        <v>10460.76</v>
      </c>
      <c r="E66">
        <v>10880.68</v>
      </c>
      <c r="F66">
        <v>18473.04</v>
      </c>
      <c r="G66">
        <v>20217.82</v>
      </c>
      <c r="H66">
        <v>21074.87</v>
      </c>
      <c r="I66">
        <v>22762.49</v>
      </c>
      <c r="J66">
        <v>27878.79</v>
      </c>
      <c r="K66">
        <v>31830.62</v>
      </c>
    </row>
    <row r="67" spans="1:11" s="4" customFormat="1" x14ac:dyDescent="0.3">
      <c r="A67" s="4" t="s">
        <v>46</v>
      </c>
      <c r="B67">
        <v>592.42999999999995</v>
      </c>
      <c r="C67">
        <v>592.45000000000005</v>
      </c>
      <c r="D67">
        <v>648.28</v>
      </c>
      <c r="E67">
        <v>680.55</v>
      </c>
      <c r="F67">
        <v>922.41</v>
      </c>
      <c r="G67">
        <v>761.32</v>
      </c>
      <c r="H67">
        <v>835.15</v>
      </c>
      <c r="I67">
        <v>798.33</v>
      </c>
      <c r="J67">
        <v>896.75</v>
      </c>
      <c r="K67">
        <v>869.79</v>
      </c>
    </row>
    <row r="68" spans="1:11" x14ac:dyDescent="0.3">
      <c r="A68" s="4" t="s">
        <v>30</v>
      </c>
      <c r="B68">
        <v>1629.01</v>
      </c>
      <c r="C68">
        <v>1452.96</v>
      </c>
      <c r="D68">
        <v>1448.31</v>
      </c>
      <c r="E68">
        <v>1608.54</v>
      </c>
      <c r="F68">
        <v>1712.03</v>
      </c>
      <c r="G68">
        <v>2249.16</v>
      </c>
      <c r="H68">
        <v>2266.5100000000002</v>
      </c>
      <c r="I68">
        <v>2701.67</v>
      </c>
      <c r="J68">
        <v>2769.35</v>
      </c>
      <c r="K68">
        <v>3599.91</v>
      </c>
    </row>
    <row r="69" spans="1:11" x14ac:dyDescent="0.3">
      <c r="A69" s="3" t="s">
        <v>55</v>
      </c>
      <c r="B69">
        <v>501.03</v>
      </c>
      <c r="C69">
        <v>574.82000000000005</v>
      </c>
      <c r="D69">
        <v>1238.1400000000001</v>
      </c>
      <c r="E69">
        <v>1033.6099999999999</v>
      </c>
      <c r="F69">
        <v>1621.46</v>
      </c>
      <c r="G69">
        <v>3074.88</v>
      </c>
      <c r="H69">
        <v>2599.89</v>
      </c>
      <c r="I69">
        <v>2796.94</v>
      </c>
      <c r="J69">
        <v>2454.4899999999998</v>
      </c>
      <c r="K69">
        <v>2817.86</v>
      </c>
    </row>
    <row r="70" spans="1:11" x14ac:dyDescent="0.3">
      <c r="A70" s="3" t="s">
        <v>42</v>
      </c>
      <c r="B70">
        <v>631129729</v>
      </c>
      <c r="C70">
        <v>631129729</v>
      </c>
      <c r="D70">
        <v>631129729</v>
      </c>
      <c r="E70">
        <v>631129729</v>
      </c>
      <c r="F70">
        <v>921551715</v>
      </c>
      <c r="G70">
        <v>921551715</v>
      </c>
      <c r="H70">
        <v>921551715</v>
      </c>
      <c r="I70">
        <v>929011650</v>
      </c>
      <c r="J70">
        <v>952834816</v>
      </c>
      <c r="K70">
        <v>989498558</v>
      </c>
    </row>
    <row r="71" spans="1:11" x14ac:dyDescent="0.3">
      <c r="A71" s="3" t="s">
        <v>43</v>
      </c>
    </row>
    <row r="72" spans="1:11" x14ac:dyDescent="0.3">
      <c r="A72" s="3" t="s">
        <v>56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">
      <c r="A74" s="4"/>
    </row>
    <row r="75" spans="1:11" x14ac:dyDescent="0.3">
      <c r="A75" s="4"/>
    </row>
    <row r="76" spans="1:11" x14ac:dyDescent="0.3">
      <c r="A76" s="4"/>
    </row>
    <row r="77" spans="1:11" x14ac:dyDescent="0.3">
      <c r="A77" s="4"/>
    </row>
    <row r="78" spans="1:11" x14ac:dyDescent="0.3">
      <c r="A78" s="4"/>
    </row>
    <row r="79" spans="1:11" x14ac:dyDescent="0.3">
      <c r="A79" s="4"/>
    </row>
    <row r="80" spans="1:11" x14ac:dyDescent="0.3">
      <c r="A80" s="1" t="s">
        <v>27</v>
      </c>
    </row>
    <row r="81" spans="1:11" s="7" customFormat="1" x14ac:dyDescent="0.3">
      <c r="A81" s="6" t="s">
        <v>24</v>
      </c>
      <c r="B81" s="5">
        <v>42460</v>
      </c>
      <c r="C81" s="5">
        <v>42825</v>
      </c>
      <c r="D81" s="5">
        <v>43190</v>
      </c>
      <c r="E81" s="5">
        <v>43555</v>
      </c>
      <c r="F81" s="5">
        <v>43921</v>
      </c>
      <c r="G81" s="5">
        <v>44286</v>
      </c>
      <c r="H81" s="5">
        <v>44651</v>
      </c>
      <c r="I81" s="5">
        <v>45016</v>
      </c>
      <c r="J81" s="5">
        <v>45382</v>
      </c>
      <c r="K81" s="5">
        <v>45747</v>
      </c>
    </row>
    <row r="82" spans="1:11" s="1" customFormat="1" x14ac:dyDescent="0.3">
      <c r="A82" s="4" t="s">
        <v>18</v>
      </c>
      <c r="B82">
        <v>115.98</v>
      </c>
      <c r="C82">
        <v>741.2</v>
      </c>
      <c r="D82">
        <v>355.58</v>
      </c>
      <c r="E82">
        <v>209.87</v>
      </c>
      <c r="F82">
        <v>1082.23</v>
      </c>
      <c r="G82">
        <v>1656.37</v>
      </c>
      <c r="H82">
        <v>1515.81</v>
      </c>
      <c r="I82">
        <v>1461.29</v>
      </c>
      <c r="J82">
        <v>1936.68</v>
      </c>
      <c r="K82">
        <v>2056.65</v>
      </c>
    </row>
    <row r="83" spans="1:11" s="4" customFormat="1" x14ac:dyDescent="0.3">
      <c r="A83" s="4" t="s">
        <v>19</v>
      </c>
      <c r="B83">
        <v>144.62</v>
      </c>
      <c r="C83">
        <v>145.05000000000001</v>
      </c>
      <c r="D83">
        <v>-31.1</v>
      </c>
      <c r="E83">
        <v>53.17</v>
      </c>
      <c r="F83">
        <v>-622.04</v>
      </c>
      <c r="G83">
        <v>-346.5</v>
      </c>
      <c r="H83">
        <v>-1317.11</v>
      </c>
      <c r="I83">
        <v>-833.61</v>
      </c>
      <c r="J83">
        <v>-1910.77</v>
      </c>
      <c r="K83">
        <v>-2303.48</v>
      </c>
    </row>
    <row r="84" spans="1:11" s="4" customFormat="1" x14ac:dyDescent="0.3">
      <c r="A84" s="4" t="s">
        <v>20</v>
      </c>
      <c r="B84">
        <v>-281.8</v>
      </c>
      <c r="C84">
        <v>-815.84</v>
      </c>
      <c r="D84">
        <v>-30.39</v>
      </c>
      <c r="E84">
        <v>-223.73</v>
      </c>
      <c r="F84">
        <v>-308.33</v>
      </c>
      <c r="G84">
        <v>-426.03</v>
      </c>
      <c r="H84">
        <v>-994.77</v>
      </c>
      <c r="I84">
        <v>-714.4</v>
      </c>
      <c r="J84">
        <v>255.55</v>
      </c>
      <c r="K84">
        <v>452.7</v>
      </c>
    </row>
    <row r="85" spans="1:11" s="1" customFormat="1" x14ac:dyDescent="0.3">
      <c r="A85" s="4" t="s">
        <v>21</v>
      </c>
      <c r="B85">
        <v>-21.2</v>
      </c>
      <c r="C85">
        <v>70.41</v>
      </c>
      <c r="D85">
        <v>294.08999999999997</v>
      </c>
      <c r="E85">
        <v>39.31</v>
      </c>
      <c r="F85">
        <v>151.86000000000001</v>
      </c>
      <c r="G85">
        <v>883.84</v>
      </c>
      <c r="H85">
        <v>-796.07</v>
      </c>
      <c r="I85">
        <v>-86.72</v>
      </c>
      <c r="J85">
        <v>281.45999999999998</v>
      </c>
      <c r="K85">
        <v>205.87</v>
      </c>
    </row>
    <row r="86" spans="1:11" x14ac:dyDescent="0.3">
      <c r="A86" s="4"/>
    </row>
    <row r="87" spans="1:11" x14ac:dyDescent="0.3">
      <c r="A87" s="4"/>
    </row>
    <row r="88" spans="1:11" x14ac:dyDescent="0.3">
      <c r="A88" s="4"/>
    </row>
    <row r="89" spans="1:11" x14ac:dyDescent="0.3">
      <c r="A89" s="4"/>
    </row>
    <row r="90" spans="1:11" s="1" customFormat="1" x14ac:dyDescent="0.3">
      <c r="A90" s="1" t="s">
        <v>45</v>
      </c>
      <c r="B90">
        <v>119.76</v>
      </c>
      <c r="C90">
        <v>148.69999999999999</v>
      </c>
      <c r="D90">
        <v>255.57</v>
      </c>
      <c r="E90">
        <v>201.45</v>
      </c>
      <c r="F90">
        <v>291.23</v>
      </c>
      <c r="G90">
        <v>631.05999999999995</v>
      </c>
      <c r="H90">
        <v>767.86</v>
      </c>
      <c r="I90">
        <v>700.15</v>
      </c>
      <c r="J90">
        <v>1082.74</v>
      </c>
      <c r="K90">
        <v>1001.9</v>
      </c>
    </row>
    <row r="92" spans="1:11" s="1" customFormat="1" x14ac:dyDescent="0.3">
      <c r="A92" s="1" t="s">
        <v>44</v>
      </c>
    </row>
    <row r="93" spans="1:11" x14ac:dyDescent="0.3">
      <c r="A93" s="3" t="s">
        <v>57</v>
      </c>
      <c r="B93" s="8">
        <v>65.540000000000006</v>
      </c>
      <c r="C93" s="8">
        <v>65.540000000000006</v>
      </c>
      <c r="D93" s="8">
        <v>65.540000000000006</v>
      </c>
      <c r="E93" s="8">
        <v>65.540000000000006</v>
      </c>
      <c r="F93" s="8">
        <v>95.7</v>
      </c>
      <c r="G93" s="8">
        <v>95.7</v>
      </c>
      <c r="H93" s="8">
        <v>95.7</v>
      </c>
      <c r="I93" s="8">
        <v>96.47</v>
      </c>
      <c r="J93" s="8">
        <v>98.95</v>
      </c>
      <c r="K93" s="8">
        <v>98.95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B427-A4B9-49A8-A0B4-4A5A12F170E5}">
  <dimension ref="B2:N35"/>
  <sheetViews>
    <sheetView workbookViewId="0">
      <selection activeCell="N8" sqref="N8"/>
    </sheetView>
  </sheetViews>
  <sheetFormatPr defaultRowHeight="14.4" x14ac:dyDescent="0.3"/>
  <cols>
    <col min="2" max="2" width="34.109375" bestFit="1" customWidth="1"/>
    <col min="3" max="14" width="7.33203125" bestFit="1" customWidth="1"/>
  </cols>
  <sheetData>
    <row r="2" spans="2:14" ht="15" thickBot="1" x14ac:dyDescent="0.35">
      <c r="C2" s="21">
        <v>41699</v>
      </c>
      <c r="D2" s="21">
        <v>42064</v>
      </c>
      <c r="E2" s="21">
        <v>42430</v>
      </c>
      <c r="F2" s="21">
        <v>42795</v>
      </c>
      <c r="G2" s="21">
        <v>43160</v>
      </c>
      <c r="H2" s="21">
        <v>43525</v>
      </c>
      <c r="I2" s="21">
        <v>43891</v>
      </c>
      <c r="J2" s="21">
        <v>44256</v>
      </c>
      <c r="K2" s="21">
        <v>44621</v>
      </c>
      <c r="L2" s="21">
        <v>44986</v>
      </c>
      <c r="M2" s="21">
        <v>45352</v>
      </c>
      <c r="N2" s="21">
        <v>45717</v>
      </c>
    </row>
    <row r="3" spans="2:14" ht="15" thickBot="1" x14ac:dyDescent="0.35">
      <c r="B3" s="22" t="s">
        <v>90</v>
      </c>
      <c r="C3" s="23">
        <v>422</v>
      </c>
      <c r="D3" s="23">
        <v>418</v>
      </c>
      <c r="E3" s="23">
        <v>116</v>
      </c>
      <c r="F3" s="23">
        <v>741</v>
      </c>
      <c r="G3" s="23">
        <v>356</v>
      </c>
      <c r="H3" s="23">
        <v>210</v>
      </c>
      <c r="I3" s="24">
        <v>1082</v>
      </c>
      <c r="J3" s="24">
        <v>1656</v>
      </c>
      <c r="K3" s="24">
        <v>1516</v>
      </c>
      <c r="L3" s="24">
        <v>1461</v>
      </c>
      <c r="M3" s="24">
        <v>1937</v>
      </c>
      <c r="N3" s="24">
        <v>2057</v>
      </c>
    </row>
    <row r="4" spans="2:14" x14ac:dyDescent="0.3">
      <c r="B4" s="25" t="s">
        <v>91</v>
      </c>
      <c r="C4" s="23">
        <v>668</v>
      </c>
      <c r="D4" s="23">
        <v>718</v>
      </c>
      <c r="E4" s="23">
        <v>650</v>
      </c>
      <c r="F4" s="23">
        <v>803</v>
      </c>
      <c r="G4" s="23">
        <v>794</v>
      </c>
      <c r="H4" s="23">
        <v>799</v>
      </c>
      <c r="I4" s="24">
        <v>1293</v>
      </c>
      <c r="J4" s="24">
        <v>1579</v>
      </c>
      <c r="K4" s="24">
        <v>1749</v>
      </c>
      <c r="L4" s="24">
        <v>1875</v>
      </c>
      <c r="M4" s="24">
        <v>2323</v>
      </c>
      <c r="N4" s="24">
        <v>2514</v>
      </c>
    </row>
    <row r="5" spans="2:14" x14ac:dyDescent="0.3">
      <c r="B5" s="26" t="s">
        <v>46</v>
      </c>
      <c r="C5" s="27">
        <v>143</v>
      </c>
      <c r="D5" s="27">
        <v>-19</v>
      </c>
      <c r="E5" s="27">
        <v>-48</v>
      </c>
      <c r="F5" s="27">
        <v>-60</v>
      </c>
      <c r="G5" s="27">
        <v>-114</v>
      </c>
      <c r="H5" s="27">
        <v>-133</v>
      </c>
      <c r="I5" s="27">
        <v>-177</v>
      </c>
      <c r="J5" s="27">
        <v>186</v>
      </c>
      <c r="K5" s="27">
        <v>-149</v>
      </c>
      <c r="L5" s="27">
        <v>-36</v>
      </c>
      <c r="M5" s="27">
        <v>-45</v>
      </c>
      <c r="N5" s="27">
        <v>36</v>
      </c>
    </row>
    <row r="6" spans="2:14" x14ac:dyDescent="0.3">
      <c r="B6" s="26" t="s">
        <v>30</v>
      </c>
      <c r="C6" s="27">
        <v>-87</v>
      </c>
      <c r="D6" s="27">
        <v>-136</v>
      </c>
      <c r="E6" s="27">
        <v>-70</v>
      </c>
      <c r="F6" s="27">
        <v>158</v>
      </c>
      <c r="G6" s="27">
        <v>-13</v>
      </c>
      <c r="H6" s="27">
        <v>-156</v>
      </c>
      <c r="I6" s="27">
        <v>81</v>
      </c>
      <c r="J6" s="27">
        <v>-533</v>
      </c>
      <c r="K6" s="27">
        <v>-1</v>
      </c>
      <c r="L6" s="27">
        <v>-368</v>
      </c>
      <c r="M6" s="27">
        <v>-3</v>
      </c>
      <c r="N6" s="27">
        <v>-734</v>
      </c>
    </row>
    <row r="7" spans="2:14" ht="15" thickBot="1" x14ac:dyDescent="0.35">
      <c r="B7" s="26" t="s">
        <v>92</v>
      </c>
      <c r="C7" s="27">
        <v>-47</v>
      </c>
      <c r="D7" s="27">
        <v>23</v>
      </c>
      <c r="E7" s="27">
        <v>-153</v>
      </c>
      <c r="F7" s="27">
        <v>51</v>
      </c>
      <c r="G7" s="27">
        <v>-12</v>
      </c>
      <c r="H7" s="27">
        <v>-133</v>
      </c>
      <c r="I7" s="27">
        <v>14</v>
      </c>
      <c r="J7" s="27">
        <v>531</v>
      </c>
      <c r="K7" s="27">
        <v>152</v>
      </c>
      <c r="L7" s="27">
        <v>379</v>
      </c>
      <c r="M7" s="27">
        <v>60</v>
      </c>
      <c r="N7" s="27">
        <v>704</v>
      </c>
    </row>
    <row r="8" spans="2:14" x14ac:dyDescent="0.3">
      <c r="B8" s="25" t="s">
        <v>93</v>
      </c>
      <c r="C8" s="23">
        <v>8</v>
      </c>
      <c r="D8" s="23">
        <v>-132</v>
      </c>
      <c r="E8" s="23">
        <v>-272</v>
      </c>
      <c r="F8" s="23">
        <v>148</v>
      </c>
      <c r="G8" s="23">
        <v>-139</v>
      </c>
      <c r="H8" s="23">
        <v>-422</v>
      </c>
      <c r="I8" s="23">
        <v>-82</v>
      </c>
      <c r="J8" s="23">
        <v>183</v>
      </c>
      <c r="K8" s="23">
        <v>2</v>
      </c>
      <c r="L8" s="23">
        <v>-25</v>
      </c>
      <c r="M8" s="23">
        <v>11</v>
      </c>
      <c r="N8" s="23">
        <v>5</v>
      </c>
    </row>
    <row r="9" spans="2:14" x14ac:dyDescent="0.3">
      <c r="B9" s="26" t="s">
        <v>94</v>
      </c>
      <c r="C9" s="27">
        <v>-255</v>
      </c>
      <c r="D9" s="27">
        <v>-169</v>
      </c>
      <c r="E9" s="27">
        <v>-234</v>
      </c>
      <c r="F9" s="27">
        <v>-211</v>
      </c>
      <c r="G9" s="27">
        <v>-299</v>
      </c>
      <c r="H9" s="27">
        <v>-167</v>
      </c>
      <c r="I9" s="27">
        <v>-128</v>
      </c>
      <c r="J9" s="27">
        <v>-106</v>
      </c>
      <c r="K9" s="27">
        <v>-235</v>
      </c>
      <c r="L9" s="27">
        <v>-389</v>
      </c>
      <c r="M9" s="27">
        <v>-398</v>
      </c>
      <c r="N9" s="27">
        <v>-462</v>
      </c>
    </row>
    <row r="10" spans="2:14" ht="15" thickBot="1" x14ac:dyDescent="0.35">
      <c r="B10" s="26" t="s">
        <v>95</v>
      </c>
      <c r="C10" s="27">
        <v>0</v>
      </c>
      <c r="D10" s="27">
        <v>0</v>
      </c>
      <c r="E10" s="27">
        <v>-28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</row>
    <row r="11" spans="2:14" x14ac:dyDescent="0.3">
      <c r="B11" s="28" t="s">
        <v>96</v>
      </c>
      <c r="C11" s="29">
        <v>-1</v>
      </c>
      <c r="D11" s="29">
        <v>-207</v>
      </c>
      <c r="E11" s="29">
        <v>145</v>
      </c>
      <c r="F11" s="29">
        <v>145</v>
      </c>
      <c r="G11" s="29">
        <v>-31</v>
      </c>
      <c r="H11" s="29">
        <v>53</v>
      </c>
      <c r="I11" s="29">
        <v>-622</v>
      </c>
      <c r="J11" s="29">
        <v>-346</v>
      </c>
      <c r="K11" s="30">
        <v>-1317</v>
      </c>
      <c r="L11" s="29">
        <v>-834</v>
      </c>
      <c r="M11" s="30">
        <v>-1911</v>
      </c>
      <c r="N11" s="30">
        <v>-2303</v>
      </c>
    </row>
    <row r="12" spans="2:14" x14ac:dyDescent="0.3">
      <c r="B12" s="31" t="s">
        <v>97</v>
      </c>
      <c r="C12" s="32">
        <v>-204</v>
      </c>
      <c r="D12" s="32">
        <v>-179</v>
      </c>
      <c r="E12" s="32">
        <v>-154</v>
      </c>
      <c r="F12" s="32">
        <v>-138</v>
      </c>
      <c r="G12" s="32">
        <v>-359</v>
      </c>
      <c r="H12" s="32">
        <v>-282</v>
      </c>
      <c r="I12" s="32">
        <v>-160</v>
      </c>
      <c r="J12" s="32">
        <v>-211</v>
      </c>
      <c r="K12" s="32">
        <v>-273</v>
      </c>
      <c r="L12" s="32">
        <v>-312</v>
      </c>
      <c r="M12" s="32">
        <v>-335</v>
      </c>
      <c r="N12" s="32">
        <v>-460</v>
      </c>
    </row>
    <row r="13" spans="2:14" x14ac:dyDescent="0.3">
      <c r="B13" s="31" t="s">
        <v>98</v>
      </c>
      <c r="C13" s="32">
        <v>58</v>
      </c>
      <c r="D13" s="32">
        <v>0</v>
      </c>
      <c r="E13" s="32">
        <v>8</v>
      </c>
      <c r="F13" s="32">
        <v>6</v>
      </c>
      <c r="G13" s="32">
        <v>9</v>
      </c>
      <c r="H13" s="32">
        <v>26</v>
      </c>
      <c r="I13" s="32">
        <v>9</v>
      </c>
      <c r="J13" s="32">
        <v>32</v>
      </c>
      <c r="K13" s="32">
        <v>27</v>
      </c>
      <c r="L13" s="32">
        <v>172</v>
      </c>
      <c r="M13" s="32">
        <v>24</v>
      </c>
      <c r="N13" s="32">
        <v>45</v>
      </c>
    </row>
    <row r="14" spans="2:14" x14ac:dyDescent="0.3">
      <c r="B14" s="31" t="s">
        <v>99</v>
      </c>
      <c r="C14" s="32">
        <v>-1</v>
      </c>
      <c r="D14" s="32">
        <v>-75</v>
      </c>
      <c r="E14" s="32">
        <v>0</v>
      </c>
      <c r="F14" s="32">
        <v>0</v>
      </c>
      <c r="G14" s="32">
        <v>-372</v>
      </c>
      <c r="H14" s="32">
        <v>0</v>
      </c>
      <c r="I14" s="32">
        <v>-222</v>
      </c>
      <c r="J14" s="32">
        <v>0</v>
      </c>
      <c r="K14" s="32">
        <v>0</v>
      </c>
      <c r="L14" s="32">
        <v>-533</v>
      </c>
      <c r="M14" s="32">
        <v>0</v>
      </c>
      <c r="N14" s="32">
        <v>-29</v>
      </c>
    </row>
    <row r="15" spans="2:14" x14ac:dyDescent="0.3">
      <c r="B15" s="31" t="s">
        <v>100</v>
      </c>
      <c r="C15" s="32">
        <v>0</v>
      </c>
      <c r="D15" s="32">
        <v>0</v>
      </c>
      <c r="E15" s="32">
        <v>175</v>
      </c>
      <c r="F15" s="32">
        <v>14</v>
      </c>
      <c r="G15" s="32">
        <v>811</v>
      </c>
      <c r="H15" s="32">
        <v>26</v>
      </c>
      <c r="I15" s="32">
        <v>65</v>
      </c>
      <c r="J15" s="32">
        <v>523</v>
      </c>
      <c r="K15" s="32">
        <v>136</v>
      </c>
      <c r="L15" s="32">
        <v>4</v>
      </c>
      <c r="M15" s="32">
        <v>710</v>
      </c>
      <c r="N15" s="32">
        <v>0</v>
      </c>
    </row>
    <row r="16" spans="2:14" x14ac:dyDescent="0.3">
      <c r="B16" s="31" t="s">
        <v>101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</row>
    <row r="17" spans="2:14" x14ac:dyDescent="0.3">
      <c r="B17" s="31" t="s">
        <v>102</v>
      </c>
      <c r="C17" s="32">
        <v>45</v>
      </c>
      <c r="D17" s="32">
        <v>37</v>
      </c>
      <c r="E17" s="32">
        <v>17</v>
      </c>
      <c r="F17" s="32">
        <v>29</v>
      </c>
      <c r="G17" s="32">
        <v>33</v>
      </c>
      <c r="H17" s="32">
        <v>49</v>
      </c>
      <c r="I17" s="32">
        <v>51</v>
      </c>
      <c r="J17" s="32">
        <v>68</v>
      </c>
      <c r="K17" s="32">
        <v>75</v>
      </c>
      <c r="L17" s="32">
        <v>109</v>
      </c>
      <c r="M17" s="32">
        <v>187</v>
      </c>
      <c r="N17" s="32">
        <v>111</v>
      </c>
    </row>
    <row r="18" spans="2:14" x14ac:dyDescent="0.3">
      <c r="B18" s="31" t="s">
        <v>103</v>
      </c>
      <c r="C18" s="32">
        <v>22</v>
      </c>
      <c r="D18" s="32">
        <v>24</v>
      </c>
      <c r="E18" s="32">
        <v>53</v>
      </c>
      <c r="F18" s="32">
        <v>29</v>
      </c>
      <c r="G18" s="32">
        <v>16</v>
      </c>
      <c r="H18" s="32">
        <v>5</v>
      </c>
      <c r="I18" s="32">
        <v>5</v>
      </c>
      <c r="J18" s="32">
        <v>5</v>
      </c>
      <c r="K18" s="32">
        <v>13</v>
      </c>
      <c r="L18" s="32">
        <v>13</v>
      </c>
      <c r="M18" s="32">
        <v>4</v>
      </c>
      <c r="N18" s="32">
        <v>7</v>
      </c>
    </row>
    <row r="19" spans="2:14" x14ac:dyDescent="0.3">
      <c r="B19" s="31" t="s">
        <v>104</v>
      </c>
      <c r="C19" s="32">
        <v>0</v>
      </c>
      <c r="D19" s="32">
        <v>-93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</row>
    <row r="20" spans="2:14" x14ac:dyDescent="0.3">
      <c r="B20" s="31" t="s">
        <v>105</v>
      </c>
      <c r="C20" s="32">
        <v>-43</v>
      </c>
      <c r="D20" s="32">
        <v>0</v>
      </c>
      <c r="E20" s="32">
        <v>-51</v>
      </c>
      <c r="F20" s="32">
        <v>-28</v>
      </c>
      <c r="G20" s="32">
        <v>-13</v>
      </c>
      <c r="H20" s="32">
        <v>-36</v>
      </c>
      <c r="I20" s="32">
        <v>-53</v>
      </c>
      <c r="J20" s="32">
        <v>-112</v>
      </c>
      <c r="K20" s="32">
        <v>-236</v>
      </c>
      <c r="L20" s="32">
        <v>-150</v>
      </c>
      <c r="M20" s="32">
        <v>-25</v>
      </c>
      <c r="N20" s="32">
        <v>-125</v>
      </c>
    </row>
    <row r="21" spans="2:14" x14ac:dyDescent="0.3">
      <c r="B21" s="31" t="s">
        <v>106</v>
      </c>
      <c r="C21" s="32">
        <v>0</v>
      </c>
      <c r="D21" s="32">
        <v>0</v>
      </c>
      <c r="E21" s="32">
        <v>0</v>
      </c>
      <c r="F21" s="32">
        <v>0</v>
      </c>
      <c r="G21" s="32">
        <v>51</v>
      </c>
      <c r="H21" s="32">
        <v>0</v>
      </c>
      <c r="I21" s="32">
        <v>30</v>
      </c>
      <c r="J21" s="32">
        <v>57</v>
      </c>
      <c r="K21" s="32">
        <v>11</v>
      </c>
      <c r="L21" s="32">
        <v>9</v>
      </c>
      <c r="M21" s="32">
        <v>0</v>
      </c>
      <c r="N21" s="32">
        <v>0</v>
      </c>
    </row>
    <row r="22" spans="2:14" x14ac:dyDescent="0.3">
      <c r="B22" s="31" t="s">
        <v>107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-169</v>
      </c>
      <c r="K22" s="32">
        <v>-511</v>
      </c>
      <c r="L22" s="32">
        <v>-55</v>
      </c>
      <c r="M22" s="33">
        <v>-3859</v>
      </c>
      <c r="N22" s="33">
        <v>-1809</v>
      </c>
    </row>
    <row r="23" spans="2:14" x14ac:dyDescent="0.3">
      <c r="B23" s="31" t="s">
        <v>108</v>
      </c>
      <c r="C23" s="32">
        <v>-28</v>
      </c>
      <c r="D23" s="32">
        <v>111</v>
      </c>
      <c r="E23" s="32">
        <v>73</v>
      </c>
      <c r="F23" s="32">
        <v>313</v>
      </c>
      <c r="G23" s="32">
        <v>44</v>
      </c>
      <c r="H23" s="32">
        <v>44</v>
      </c>
      <c r="I23" s="32">
        <v>132</v>
      </c>
      <c r="J23" s="32">
        <v>-73</v>
      </c>
      <c r="K23" s="32">
        <v>-499</v>
      </c>
      <c r="L23" s="32">
        <v>70</v>
      </c>
      <c r="M23" s="32">
        <v>232</v>
      </c>
      <c r="N23" s="32">
        <v>-144</v>
      </c>
    </row>
    <row r="24" spans="2:14" ht="15" thickBot="1" x14ac:dyDescent="0.35">
      <c r="B24" s="31" t="s">
        <v>109</v>
      </c>
      <c r="C24" s="32">
        <v>149</v>
      </c>
      <c r="D24" s="32">
        <v>-32</v>
      </c>
      <c r="E24" s="32">
        <v>24</v>
      </c>
      <c r="F24" s="32">
        <v>-79</v>
      </c>
      <c r="G24" s="32">
        <v>-250</v>
      </c>
      <c r="H24" s="32">
        <v>222</v>
      </c>
      <c r="I24" s="32">
        <v>-481</v>
      </c>
      <c r="J24" s="32">
        <v>-467</v>
      </c>
      <c r="K24" s="32">
        <v>-61</v>
      </c>
      <c r="L24" s="32">
        <v>-160</v>
      </c>
      <c r="M24" s="33">
        <v>1152</v>
      </c>
      <c r="N24" s="32">
        <v>99</v>
      </c>
    </row>
    <row r="25" spans="2:14" x14ac:dyDescent="0.3">
      <c r="B25" s="22" t="s">
        <v>110</v>
      </c>
      <c r="C25" s="23">
        <v>-363</v>
      </c>
      <c r="D25" s="23">
        <v>-392</v>
      </c>
      <c r="E25" s="23">
        <v>-282</v>
      </c>
      <c r="F25" s="23">
        <v>-816</v>
      </c>
      <c r="G25" s="23">
        <v>-30</v>
      </c>
      <c r="H25" s="23">
        <v>-224</v>
      </c>
      <c r="I25" s="23">
        <v>-308</v>
      </c>
      <c r="J25" s="23">
        <v>-426</v>
      </c>
      <c r="K25" s="23">
        <v>-995</v>
      </c>
      <c r="L25" s="23">
        <v>-714</v>
      </c>
      <c r="M25" s="23">
        <v>256</v>
      </c>
      <c r="N25" s="23">
        <v>453</v>
      </c>
    </row>
    <row r="26" spans="2:14" x14ac:dyDescent="0.3">
      <c r="B26" s="26" t="s">
        <v>111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34">
        <v>2981</v>
      </c>
    </row>
    <row r="27" spans="2:14" x14ac:dyDescent="0.3">
      <c r="B27" s="26" t="s">
        <v>112</v>
      </c>
      <c r="C27" s="27">
        <v>325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</row>
    <row r="28" spans="2:14" x14ac:dyDescent="0.3">
      <c r="B28" s="26" t="s">
        <v>113</v>
      </c>
      <c r="C28" s="27">
        <v>-388</v>
      </c>
      <c r="D28" s="27">
        <v>0</v>
      </c>
      <c r="E28" s="27">
        <v>0</v>
      </c>
      <c r="F28" s="27">
        <v>-398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</row>
    <row r="29" spans="2:14" x14ac:dyDescent="0.3">
      <c r="B29" s="26" t="s">
        <v>114</v>
      </c>
      <c r="C29" s="27">
        <v>26</v>
      </c>
      <c r="D29" s="27">
        <v>50</v>
      </c>
      <c r="E29" s="27">
        <v>0</v>
      </c>
      <c r="F29" s="27">
        <v>0</v>
      </c>
      <c r="G29" s="27">
        <v>216</v>
      </c>
      <c r="H29" s="27">
        <v>101</v>
      </c>
      <c r="I29" s="27">
        <v>50</v>
      </c>
      <c r="J29" s="27">
        <v>12</v>
      </c>
      <c r="K29" s="27">
        <v>0</v>
      </c>
      <c r="L29" s="27">
        <v>53</v>
      </c>
      <c r="M29" s="34">
        <v>1327</v>
      </c>
      <c r="N29" s="27">
        <v>60</v>
      </c>
    </row>
    <row r="30" spans="2:14" x14ac:dyDescent="0.3">
      <c r="B30" s="26" t="s">
        <v>115</v>
      </c>
      <c r="C30" s="27">
        <v>-52</v>
      </c>
      <c r="D30" s="27">
        <v>-181</v>
      </c>
      <c r="E30" s="27">
        <v>-80</v>
      </c>
      <c r="F30" s="27">
        <v>-87</v>
      </c>
      <c r="G30" s="27">
        <v>0</v>
      </c>
      <c r="H30" s="27">
        <v>-65</v>
      </c>
      <c r="I30" s="27">
        <v>-18</v>
      </c>
      <c r="J30" s="27">
        <v>-69</v>
      </c>
      <c r="K30" s="27">
        <v>-495</v>
      </c>
      <c r="L30" s="27">
        <v>-56</v>
      </c>
      <c r="M30" s="27">
        <v>-73</v>
      </c>
      <c r="N30" s="34">
        <v>-1511</v>
      </c>
    </row>
    <row r="31" spans="2:14" x14ac:dyDescent="0.3">
      <c r="B31" s="26" t="s">
        <v>116</v>
      </c>
      <c r="C31" s="27">
        <v>-86</v>
      </c>
      <c r="D31" s="27">
        <v>-82</v>
      </c>
      <c r="E31" s="27">
        <v>-66</v>
      </c>
      <c r="F31" s="27">
        <v>-61</v>
      </c>
      <c r="G31" s="27">
        <v>-28</v>
      </c>
      <c r="H31" s="27">
        <v>-44</v>
      </c>
      <c r="I31" s="27">
        <v>-70</v>
      </c>
      <c r="J31" s="27">
        <v>-65</v>
      </c>
      <c r="K31" s="27">
        <v>-63</v>
      </c>
      <c r="L31" s="27">
        <v>-82</v>
      </c>
      <c r="M31" s="27">
        <v>-118</v>
      </c>
      <c r="N31" s="27">
        <v>-261</v>
      </c>
    </row>
    <row r="32" spans="2:14" x14ac:dyDescent="0.3">
      <c r="B32" s="26" t="s">
        <v>117</v>
      </c>
      <c r="C32" s="27">
        <v>-162</v>
      </c>
      <c r="D32" s="27">
        <v>-161</v>
      </c>
      <c r="E32" s="27">
        <v>-187</v>
      </c>
      <c r="F32" s="27">
        <v>-189</v>
      </c>
      <c r="G32" s="27">
        <v>-212</v>
      </c>
      <c r="H32" s="27">
        <v>-216</v>
      </c>
      <c r="I32" s="27">
        <v>-222</v>
      </c>
      <c r="J32" s="27">
        <v>-267</v>
      </c>
      <c r="K32" s="27">
        <v>-398</v>
      </c>
      <c r="L32" s="27">
        <v>-573</v>
      </c>
      <c r="M32" s="27">
        <v>-809</v>
      </c>
      <c r="N32" s="27">
        <v>-741</v>
      </c>
    </row>
    <row r="33" spans="2:14" x14ac:dyDescent="0.3">
      <c r="B33" s="26" t="s">
        <v>118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-49</v>
      </c>
      <c r="J33" s="27">
        <v>-45</v>
      </c>
      <c r="K33" s="27">
        <v>-53</v>
      </c>
      <c r="L33" s="27">
        <v>-56</v>
      </c>
      <c r="M33" s="27">
        <v>-71</v>
      </c>
      <c r="N33" s="27">
        <v>-75</v>
      </c>
    </row>
    <row r="34" spans="2:14" ht="15" thickBot="1" x14ac:dyDescent="0.35">
      <c r="B34" s="26" t="s">
        <v>119</v>
      </c>
      <c r="C34" s="27">
        <v>-25</v>
      </c>
      <c r="D34" s="27">
        <v>-18</v>
      </c>
      <c r="E34" s="27">
        <v>51</v>
      </c>
      <c r="F34" s="27">
        <v>-81</v>
      </c>
      <c r="G34" s="27">
        <v>-6</v>
      </c>
      <c r="H34" s="27">
        <v>0</v>
      </c>
      <c r="I34" s="27">
        <v>0</v>
      </c>
      <c r="J34" s="27">
        <v>9</v>
      </c>
      <c r="K34" s="27">
        <v>13</v>
      </c>
      <c r="L34" s="27">
        <v>0</v>
      </c>
      <c r="M34" s="27">
        <v>0</v>
      </c>
      <c r="N34" s="27">
        <v>0</v>
      </c>
    </row>
    <row r="35" spans="2:14" x14ac:dyDescent="0.3">
      <c r="B35" s="28" t="s">
        <v>21</v>
      </c>
      <c r="C35" s="29">
        <v>57</v>
      </c>
      <c r="D35" s="29">
        <v>-182</v>
      </c>
      <c r="E35" s="29">
        <v>-21</v>
      </c>
      <c r="F35" s="29">
        <v>70</v>
      </c>
      <c r="G35" s="29">
        <v>294</v>
      </c>
      <c r="H35" s="29">
        <v>39</v>
      </c>
      <c r="I35" s="29">
        <v>152</v>
      </c>
      <c r="J35" s="29">
        <v>884</v>
      </c>
      <c r="K35" s="29">
        <v>-796</v>
      </c>
      <c r="L35" s="29">
        <v>-87</v>
      </c>
      <c r="M35" s="29">
        <v>281</v>
      </c>
      <c r="N35" s="29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A736-F075-4345-A1B2-2DD47BCDE2D9}">
  <dimension ref="B2:N7"/>
  <sheetViews>
    <sheetView workbookViewId="0">
      <selection activeCell="B32" sqref="B32"/>
    </sheetView>
  </sheetViews>
  <sheetFormatPr defaultRowHeight="14.4" x14ac:dyDescent="0.3"/>
  <cols>
    <col min="2" max="2" width="23.5546875" bestFit="1" customWidth="1"/>
    <col min="3" max="14" width="7.33203125" bestFit="1" customWidth="1"/>
  </cols>
  <sheetData>
    <row r="2" spans="2:14" ht="15" thickBot="1" x14ac:dyDescent="0.35">
      <c r="C2" s="21">
        <v>41699</v>
      </c>
      <c r="D2" s="21">
        <v>42064</v>
      </c>
      <c r="E2" s="21">
        <v>42430</v>
      </c>
      <c r="F2" s="21">
        <v>42795</v>
      </c>
      <c r="G2" s="21">
        <v>43160</v>
      </c>
      <c r="H2" s="21">
        <v>43525</v>
      </c>
      <c r="I2" s="21">
        <v>43891</v>
      </c>
      <c r="J2" s="21">
        <v>44256</v>
      </c>
      <c r="K2" s="21">
        <v>44621</v>
      </c>
      <c r="L2" s="21">
        <v>44986</v>
      </c>
      <c r="M2" s="21">
        <v>45352</v>
      </c>
      <c r="N2" s="21">
        <v>45717</v>
      </c>
    </row>
    <row r="3" spans="2:14" x14ac:dyDescent="0.3">
      <c r="B3" s="28" t="s">
        <v>120</v>
      </c>
      <c r="C3" s="30">
        <v>2625</v>
      </c>
      <c r="D3" s="30">
        <v>2641</v>
      </c>
      <c r="E3" s="30">
        <v>2294</v>
      </c>
      <c r="F3" s="30">
        <v>2499</v>
      </c>
      <c r="G3" s="30">
        <v>2362</v>
      </c>
      <c r="H3" s="30">
        <v>2408</v>
      </c>
      <c r="I3" s="30">
        <v>3072</v>
      </c>
      <c r="J3" s="30">
        <v>4050</v>
      </c>
      <c r="K3" s="30">
        <v>4521</v>
      </c>
      <c r="L3" s="30">
        <v>4886</v>
      </c>
      <c r="M3" s="30">
        <v>8345</v>
      </c>
      <c r="N3" s="30">
        <v>9437</v>
      </c>
    </row>
    <row r="4" spans="2:14" x14ac:dyDescent="0.3">
      <c r="B4" s="31" t="s">
        <v>121</v>
      </c>
      <c r="C4" s="32">
        <v>924</v>
      </c>
      <c r="D4" s="32">
        <v>876</v>
      </c>
      <c r="E4" s="32">
        <v>862</v>
      </c>
      <c r="F4" s="32">
        <v>920</v>
      </c>
      <c r="G4" s="33">
        <v>1009</v>
      </c>
      <c r="H4" s="33">
        <v>1028</v>
      </c>
      <c r="I4" s="33">
        <v>1092</v>
      </c>
      <c r="J4" s="33">
        <v>1093</v>
      </c>
      <c r="K4" s="33">
        <v>1152</v>
      </c>
      <c r="L4" s="32">
        <v>850</v>
      </c>
      <c r="M4" s="33">
        <v>1379</v>
      </c>
      <c r="N4" s="33">
        <v>1389</v>
      </c>
    </row>
    <row r="5" spans="2:14" x14ac:dyDescent="0.3">
      <c r="B5" s="31" t="s">
        <v>122</v>
      </c>
      <c r="C5" s="32">
        <v>769</v>
      </c>
      <c r="D5" s="32">
        <v>759</v>
      </c>
      <c r="E5" s="32">
        <v>677</v>
      </c>
      <c r="F5" s="32">
        <v>738</v>
      </c>
      <c r="G5" s="32">
        <v>706</v>
      </c>
      <c r="H5" s="32">
        <v>665</v>
      </c>
      <c r="I5" s="32">
        <v>944</v>
      </c>
      <c r="J5" s="33">
        <v>1625</v>
      </c>
      <c r="K5" s="33">
        <v>1916</v>
      </c>
      <c r="L5" s="33">
        <v>2348</v>
      </c>
      <c r="M5" s="33">
        <v>2707</v>
      </c>
      <c r="N5" s="33">
        <v>3508</v>
      </c>
    </row>
    <row r="6" spans="2:14" x14ac:dyDescent="0.3">
      <c r="B6" s="31" t="s">
        <v>123</v>
      </c>
      <c r="C6" s="32">
        <v>0</v>
      </c>
      <c r="D6" s="32">
        <v>0</v>
      </c>
      <c r="E6" s="32">
        <v>3</v>
      </c>
      <c r="F6" s="32">
        <v>6</v>
      </c>
      <c r="G6" s="32">
        <v>9</v>
      </c>
      <c r="H6" s="32">
        <v>6</v>
      </c>
      <c r="I6" s="32">
        <v>13</v>
      </c>
      <c r="J6" s="32">
        <v>41</v>
      </c>
      <c r="K6" s="32">
        <v>44</v>
      </c>
      <c r="L6" s="32">
        <v>52</v>
      </c>
      <c r="M6" s="32">
        <v>64</v>
      </c>
      <c r="N6" s="32">
        <v>65</v>
      </c>
    </row>
    <row r="7" spans="2:14" x14ac:dyDescent="0.3">
      <c r="B7" s="31" t="s">
        <v>124</v>
      </c>
      <c r="C7" s="32">
        <v>932</v>
      </c>
      <c r="D7" s="33">
        <v>1005</v>
      </c>
      <c r="E7" s="32">
        <v>751</v>
      </c>
      <c r="F7" s="32">
        <v>836</v>
      </c>
      <c r="G7" s="32">
        <v>638</v>
      </c>
      <c r="H7" s="32">
        <v>710</v>
      </c>
      <c r="I7" s="33">
        <v>1022</v>
      </c>
      <c r="J7" s="33">
        <v>1291</v>
      </c>
      <c r="K7" s="33">
        <v>1409</v>
      </c>
      <c r="L7" s="33">
        <v>1636</v>
      </c>
      <c r="M7" s="33">
        <v>4195</v>
      </c>
      <c r="N7" s="33">
        <v>4474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CC87-288B-4CFD-A717-A4D204CD5783}">
  <dimension ref="B1:Y106"/>
  <sheetViews>
    <sheetView showGridLines="0" workbookViewId="0">
      <selection activeCell="B1" sqref="B1"/>
    </sheetView>
  </sheetViews>
  <sheetFormatPr defaultRowHeight="14.4" x14ac:dyDescent="0.3"/>
  <cols>
    <col min="1" max="1" width="1.88671875" customWidth="1"/>
    <col min="2" max="2" width="10.5546875" bestFit="1" customWidth="1"/>
    <col min="3" max="6" width="8" bestFit="1" customWidth="1"/>
    <col min="7" max="7" width="8.88671875" bestFit="1" customWidth="1"/>
    <col min="8" max="8" width="10.21875" bestFit="1" customWidth="1"/>
    <col min="9" max="9" width="16.88671875" bestFit="1" customWidth="1"/>
    <col min="11" max="11" width="10.5546875" bestFit="1" customWidth="1"/>
    <col min="12" max="15" width="8" bestFit="1" customWidth="1"/>
    <col min="16" max="16" width="7.21875" bestFit="1" customWidth="1"/>
    <col min="17" max="17" width="9.21875" bestFit="1" customWidth="1"/>
    <col min="19" max="19" width="10.5546875" bestFit="1" customWidth="1"/>
    <col min="20" max="23" width="9" bestFit="1" customWidth="1"/>
    <col min="24" max="24" width="8.21875" bestFit="1" customWidth="1"/>
  </cols>
  <sheetData>
    <row r="1" spans="2:25" ht="25.05" customHeight="1" x14ac:dyDescent="0.3"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K1" s="2" t="s">
        <v>194</v>
      </c>
      <c r="S1" s="2" t="s">
        <v>365</v>
      </c>
    </row>
    <row r="2" spans="2:25" x14ac:dyDescent="0.3">
      <c r="B2" s="66">
        <v>1</v>
      </c>
      <c r="C2" s="67" t="s">
        <v>151</v>
      </c>
      <c r="D2" s="68">
        <v>460</v>
      </c>
      <c r="E2" s="68">
        <v>55.79</v>
      </c>
      <c r="F2" s="68">
        <v>155568.17000000001</v>
      </c>
      <c r="G2" s="68">
        <v>0.17</v>
      </c>
      <c r="H2" s="68">
        <v>2826.25</v>
      </c>
      <c r="I2" s="68">
        <v>0.89700000000000002</v>
      </c>
      <c r="K2" s="2" t="s">
        <v>195</v>
      </c>
      <c r="L2" s="2" t="s">
        <v>196</v>
      </c>
      <c r="M2" s="2" t="s">
        <v>197</v>
      </c>
      <c r="N2" s="2" t="s">
        <v>198</v>
      </c>
      <c r="O2" s="2" t="s">
        <v>199</v>
      </c>
      <c r="P2" s="2" t="s">
        <v>200</v>
      </c>
      <c r="Q2" s="2" t="s">
        <v>201</v>
      </c>
      <c r="S2" s="2" t="s">
        <v>195</v>
      </c>
      <c r="T2" s="2" t="s">
        <v>196</v>
      </c>
      <c r="U2" s="2" t="s">
        <v>197</v>
      </c>
      <c r="V2" s="2" t="s">
        <v>198</v>
      </c>
      <c r="W2" s="2" t="s">
        <v>199</v>
      </c>
      <c r="X2" s="2" t="s">
        <v>200</v>
      </c>
      <c r="Y2" s="2" t="s">
        <v>201</v>
      </c>
    </row>
    <row r="3" spans="2:25" x14ac:dyDescent="0.3">
      <c r="B3" s="66">
        <f>B2+1</f>
        <v>2</v>
      </c>
      <c r="C3" s="67" t="s">
        <v>152</v>
      </c>
      <c r="D3" s="68">
        <v>5584</v>
      </c>
      <c r="E3" s="68">
        <v>61.25</v>
      </c>
      <c r="F3" s="68">
        <v>134500.87</v>
      </c>
      <c r="G3" s="68">
        <v>0.28999999999999998</v>
      </c>
      <c r="H3" s="68">
        <v>1246.51</v>
      </c>
      <c r="I3" s="68">
        <v>0.39500000000000002</v>
      </c>
      <c r="K3" t="s">
        <v>202</v>
      </c>
      <c r="L3" s="85">
        <v>1091.5</v>
      </c>
      <c r="M3" s="85">
        <v>1074</v>
      </c>
      <c r="N3" s="85">
        <v>1102.5999999999999</v>
      </c>
      <c r="O3" s="85">
        <v>1059</v>
      </c>
      <c r="P3" t="s">
        <v>203</v>
      </c>
      <c r="Q3" s="41">
        <v>1.21E-2</v>
      </c>
      <c r="S3" t="s">
        <v>202</v>
      </c>
      <c r="T3" s="85">
        <v>25112.400000000001</v>
      </c>
      <c r="U3" s="85">
        <v>24732.35</v>
      </c>
      <c r="V3" s="85">
        <v>25133.9</v>
      </c>
      <c r="W3" s="85">
        <v>24706.7</v>
      </c>
      <c r="X3" t="s">
        <v>366</v>
      </c>
      <c r="Y3" s="41">
        <v>1.5900000000000001E-2</v>
      </c>
    </row>
    <row r="4" spans="2:25" x14ac:dyDescent="0.3">
      <c r="B4" s="66">
        <f t="shared" ref="B4:B5" si="0">B3+1</f>
        <v>3</v>
      </c>
      <c r="C4" s="67" t="s">
        <v>153</v>
      </c>
      <c r="D4" s="68">
        <v>1185</v>
      </c>
      <c r="E4" s="68">
        <v>63.94</v>
      </c>
      <c r="F4" s="68">
        <v>121226.48</v>
      </c>
      <c r="G4" s="68">
        <v>0.33</v>
      </c>
      <c r="H4" s="68">
        <v>4004.49</v>
      </c>
      <c r="I4" s="68">
        <v>0.58099999999999996</v>
      </c>
      <c r="K4" s="86">
        <v>45875</v>
      </c>
      <c r="L4" s="85">
        <v>1078.4000000000001</v>
      </c>
      <c r="M4" s="85">
        <v>1115.5999999999999</v>
      </c>
      <c r="N4" s="85">
        <v>1128.5999999999999</v>
      </c>
      <c r="O4" s="85">
        <v>1066.5999999999999</v>
      </c>
      <c r="P4" t="s">
        <v>204</v>
      </c>
      <c r="Q4" s="41">
        <v>-3.3300000000000003E-2</v>
      </c>
      <c r="S4" s="86">
        <v>45875</v>
      </c>
      <c r="T4" s="85">
        <v>24718.6</v>
      </c>
      <c r="U4" s="85">
        <v>25160.1</v>
      </c>
      <c r="V4" s="85">
        <v>25222.400000000001</v>
      </c>
      <c r="W4" s="85">
        <v>24473</v>
      </c>
      <c r="X4" t="s">
        <v>367</v>
      </c>
      <c r="Y4" s="41">
        <v>-1.14E-2</v>
      </c>
    </row>
    <row r="5" spans="2:25" x14ac:dyDescent="0.3">
      <c r="B5" s="66">
        <f t="shared" si="0"/>
        <v>4</v>
      </c>
      <c r="C5" s="67" t="s">
        <v>154</v>
      </c>
      <c r="D5" s="68">
        <v>1091.5</v>
      </c>
      <c r="E5" s="68">
        <v>85.54</v>
      </c>
      <c r="F5" s="68">
        <v>108005.15</v>
      </c>
      <c r="G5" s="68">
        <v>0.12</v>
      </c>
      <c r="H5" s="68">
        <v>2392.6799999999998</v>
      </c>
      <c r="I5" s="68">
        <v>0.68700000000000006</v>
      </c>
      <c r="K5" s="86">
        <v>45663</v>
      </c>
      <c r="L5" s="85">
        <v>1115.5999999999999</v>
      </c>
      <c r="M5" s="85">
        <v>1100</v>
      </c>
      <c r="N5" s="85">
        <v>1127.0999999999999</v>
      </c>
      <c r="O5" s="85">
        <v>1099.2</v>
      </c>
      <c r="P5" t="s">
        <v>205</v>
      </c>
      <c r="Q5" s="41">
        <v>8.3999999999999995E-3</v>
      </c>
      <c r="S5" s="86">
        <v>45663</v>
      </c>
      <c r="T5" s="85">
        <v>25003.05</v>
      </c>
      <c r="U5" s="85">
        <v>24669.7</v>
      </c>
      <c r="V5" s="85">
        <v>25029.5</v>
      </c>
      <c r="W5" s="85">
        <v>24502.15</v>
      </c>
      <c r="X5" t="s">
        <v>368</v>
      </c>
      <c r="Y5" s="41">
        <v>1.0200000000000001E-2</v>
      </c>
    </row>
    <row r="6" spans="2:25" x14ac:dyDescent="0.3">
      <c r="K6" t="s">
        <v>206</v>
      </c>
      <c r="L6" s="85">
        <v>1106.3</v>
      </c>
      <c r="M6" s="85">
        <v>1137</v>
      </c>
      <c r="N6" s="85">
        <v>1153.4000000000001</v>
      </c>
      <c r="O6" s="85">
        <v>1098.2</v>
      </c>
      <c r="P6" t="s">
        <v>207</v>
      </c>
      <c r="Q6" s="41">
        <v>-3.0200000000000001E-2</v>
      </c>
      <c r="S6" t="s">
        <v>206</v>
      </c>
      <c r="T6" s="85">
        <v>24750.7</v>
      </c>
      <c r="U6" s="85">
        <v>24919.35</v>
      </c>
      <c r="V6" s="85">
        <v>25079.200000000001</v>
      </c>
      <c r="W6" s="85">
        <v>24677.3</v>
      </c>
      <c r="X6" t="s">
        <v>369</v>
      </c>
      <c r="Y6" s="41">
        <v>-4.1000000000000003E-3</v>
      </c>
    </row>
    <row r="7" spans="2:25" x14ac:dyDescent="0.3">
      <c r="K7" t="s">
        <v>208</v>
      </c>
      <c r="L7" s="85">
        <v>1140.8</v>
      </c>
      <c r="M7" s="85">
        <v>1168</v>
      </c>
      <c r="N7" s="85">
        <v>1169.7</v>
      </c>
      <c r="O7" s="85">
        <v>1115.5</v>
      </c>
      <c r="P7" t="s">
        <v>209</v>
      </c>
      <c r="Q7" s="41">
        <v>-2.3300000000000001E-2</v>
      </c>
      <c r="S7" t="s">
        <v>208</v>
      </c>
      <c r="T7" s="85">
        <v>24853.15</v>
      </c>
      <c r="U7" s="85">
        <v>25005.35</v>
      </c>
      <c r="V7" s="85">
        <v>25062.95</v>
      </c>
      <c r="W7" s="85">
        <v>24462.400000000001</v>
      </c>
      <c r="X7" t="s">
        <v>370</v>
      </c>
      <c r="Y7" s="41">
        <v>-6.7000000000000002E-3</v>
      </c>
    </row>
    <row r="8" spans="2:25" x14ac:dyDescent="0.3">
      <c r="K8" s="86">
        <v>45966</v>
      </c>
      <c r="L8" s="85">
        <v>1168</v>
      </c>
      <c r="M8" s="85">
        <v>1123</v>
      </c>
      <c r="N8" s="85">
        <v>1173.5</v>
      </c>
      <c r="O8" s="85">
        <v>1105.5</v>
      </c>
      <c r="P8" t="s">
        <v>210</v>
      </c>
      <c r="Q8" s="41">
        <v>4.8800000000000003E-2</v>
      </c>
      <c r="S8" s="86">
        <v>45966</v>
      </c>
      <c r="T8" s="85">
        <v>25019.8</v>
      </c>
      <c r="U8" s="85">
        <v>24420.1</v>
      </c>
      <c r="V8" s="85">
        <v>25116.25</v>
      </c>
      <c r="W8" s="85">
        <v>24378.85</v>
      </c>
      <c r="X8" t="s">
        <v>371</v>
      </c>
      <c r="Y8" s="41">
        <v>4.2099999999999999E-2</v>
      </c>
    </row>
    <row r="9" spans="2:25" x14ac:dyDescent="0.3">
      <c r="K9" s="86">
        <v>45752</v>
      </c>
      <c r="L9" s="85">
        <v>1113.7</v>
      </c>
      <c r="M9" s="85">
        <v>1155.5</v>
      </c>
      <c r="N9" s="85">
        <v>1173.5999999999999</v>
      </c>
      <c r="O9" s="85">
        <v>1086.4000000000001</v>
      </c>
      <c r="P9" t="s">
        <v>211</v>
      </c>
      <c r="Q9" s="41">
        <v>-3.73E-2</v>
      </c>
      <c r="S9" s="86">
        <v>45752</v>
      </c>
      <c r="T9" s="85">
        <v>24008</v>
      </c>
      <c r="U9" s="85">
        <v>24419.5</v>
      </c>
      <c r="V9" s="85">
        <v>24526.400000000001</v>
      </c>
      <c r="W9" s="85">
        <v>23935.75</v>
      </c>
      <c r="X9" t="s">
        <v>368</v>
      </c>
      <c r="Y9" s="41">
        <v>-1.3899999999999999E-2</v>
      </c>
    </row>
    <row r="10" spans="2:25" x14ac:dyDescent="0.3">
      <c r="K10" t="s">
        <v>212</v>
      </c>
      <c r="L10" s="85">
        <v>1156.8</v>
      </c>
      <c r="M10" s="85">
        <v>1146.0999999999999</v>
      </c>
      <c r="N10" s="85">
        <v>1180.5</v>
      </c>
      <c r="O10" s="85">
        <v>1145</v>
      </c>
      <c r="P10" t="s">
        <v>213</v>
      </c>
      <c r="Q10" s="41">
        <v>1E-3</v>
      </c>
      <c r="S10" t="s">
        <v>212</v>
      </c>
      <c r="T10" s="85">
        <v>24346.7</v>
      </c>
      <c r="U10" s="85">
        <v>24070.25</v>
      </c>
      <c r="V10" s="85">
        <v>24589.15</v>
      </c>
      <c r="W10" s="85">
        <v>24054.05</v>
      </c>
      <c r="X10" t="s">
        <v>372</v>
      </c>
      <c r="Y10" s="41">
        <v>1.2800000000000001E-2</v>
      </c>
    </row>
    <row r="11" spans="2:25" x14ac:dyDescent="0.3">
      <c r="K11" t="s">
        <v>214</v>
      </c>
      <c r="L11" s="85">
        <v>1155.7</v>
      </c>
      <c r="M11" s="85">
        <v>1120.2</v>
      </c>
      <c r="N11" s="85">
        <v>1168.9000000000001</v>
      </c>
      <c r="O11" s="85">
        <v>1098.3</v>
      </c>
      <c r="P11" t="s">
        <v>215</v>
      </c>
      <c r="Q11" s="41">
        <v>3.1699999999999999E-2</v>
      </c>
      <c r="S11" t="s">
        <v>214</v>
      </c>
      <c r="T11" s="85">
        <v>24039.35</v>
      </c>
      <c r="U11" s="85">
        <v>23949.15</v>
      </c>
      <c r="V11" s="85">
        <v>24365.45</v>
      </c>
      <c r="W11" s="85">
        <v>23847.85</v>
      </c>
      <c r="X11" t="s">
        <v>373</v>
      </c>
      <c r="Y11" s="41">
        <v>7.9000000000000008E-3</v>
      </c>
    </row>
    <row r="12" spans="2:25" x14ac:dyDescent="0.3">
      <c r="K12" t="s">
        <v>216</v>
      </c>
      <c r="L12" s="85">
        <v>1120.2</v>
      </c>
      <c r="M12" s="85">
        <v>1108.3</v>
      </c>
      <c r="N12" s="85">
        <v>1133.8</v>
      </c>
      <c r="O12" s="85">
        <v>1086.8</v>
      </c>
      <c r="P12" t="s">
        <v>217</v>
      </c>
      <c r="Q12" s="41">
        <v>2.0299999999999999E-2</v>
      </c>
      <c r="S12" t="s">
        <v>216</v>
      </c>
      <c r="T12" s="85">
        <v>23851.65</v>
      </c>
      <c r="U12" s="85">
        <v>23368.35</v>
      </c>
      <c r="V12" s="85">
        <v>23872.35</v>
      </c>
      <c r="W12" s="85">
        <v>23207</v>
      </c>
      <c r="X12" t="s">
        <v>374</v>
      </c>
      <c r="Y12" s="41">
        <v>4.48E-2</v>
      </c>
    </row>
    <row r="13" spans="2:25" x14ac:dyDescent="0.3">
      <c r="K13" s="86">
        <v>45812</v>
      </c>
      <c r="L13" s="85">
        <v>1097.9000000000001</v>
      </c>
      <c r="M13" s="85">
        <v>1019</v>
      </c>
      <c r="N13" s="85">
        <v>1126</v>
      </c>
      <c r="O13" s="85">
        <v>1019</v>
      </c>
      <c r="P13" t="s">
        <v>218</v>
      </c>
      <c r="Q13" s="41">
        <v>9.1999999999999998E-3</v>
      </c>
      <c r="S13" s="86">
        <v>45812</v>
      </c>
      <c r="T13" s="85">
        <v>22828.55</v>
      </c>
      <c r="U13" s="85">
        <v>21758.400000000001</v>
      </c>
      <c r="V13" s="85">
        <v>22923.9</v>
      </c>
      <c r="W13" s="85">
        <v>21743.65</v>
      </c>
      <c r="X13" t="s">
        <v>375</v>
      </c>
      <c r="Y13" s="41">
        <v>-3.3E-3</v>
      </c>
    </row>
    <row r="14" spans="2:25" x14ac:dyDescent="0.3">
      <c r="K14" t="s">
        <v>219</v>
      </c>
      <c r="L14" s="85">
        <v>1087.8499999999999</v>
      </c>
      <c r="M14" s="85">
        <v>1003</v>
      </c>
      <c r="N14" s="85">
        <v>1095.55</v>
      </c>
      <c r="O14">
        <v>989.25</v>
      </c>
      <c r="P14" t="s">
        <v>220</v>
      </c>
      <c r="Q14" s="41">
        <v>8.5800000000000001E-2</v>
      </c>
      <c r="S14" t="s">
        <v>219</v>
      </c>
      <c r="T14" s="85">
        <v>22904.45</v>
      </c>
      <c r="U14" s="85">
        <v>23341.1</v>
      </c>
      <c r="V14" s="85">
        <v>23565.15</v>
      </c>
      <c r="W14" s="85">
        <v>22857.45</v>
      </c>
      <c r="X14" t="s">
        <v>376</v>
      </c>
      <c r="Y14" s="41">
        <v>-2.6100000000000002E-2</v>
      </c>
    </row>
    <row r="15" spans="2:25" x14ac:dyDescent="0.3">
      <c r="K15" t="s">
        <v>221</v>
      </c>
      <c r="L15" s="85">
        <v>1001.9</v>
      </c>
      <c r="M15">
        <v>965.25</v>
      </c>
      <c r="N15" s="85">
        <v>1015</v>
      </c>
      <c r="O15">
        <v>952.5</v>
      </c>
      <c r="P15" t="s">
        <v>222</v>
      </c>
      <c r="Q15" s="41">
        <v>4.2299999999999997E-2</v>
      </c>
      <c r="S15" t="s">
        <v>221</v>
      </c>
      <c r="T15" s="85">
        <v>23519.35</v>
      </c>
      <c r="U15" s="85">
        <v>23515.4</v>
      </c>
      <c r="V15" s="85">
        <v>23869.599999999999</v>
      </c>
      <c r="W15" s="85">
        <v>23412.2</v>
      </c>
      <c r="X15" t="s">
        <v>377</v>
      </c>
      <c r="Y15" s="41">
        <v>7.1999999999999998E-3</v>
      </c>
    </row>
    <row r="16" spans="2:25" x14ac:dyDescent="0.3">
      <c r="K16" t="s">
        <v>223</v>
      </c>
      <c r="L16">
        <v>961.2</v>
      </c>
      <c r="M16">
        <v>946.1</v>
      </c>
      <c r="N16">
        <v>972.15</v>
      </c>
      <c r="O16">
        <v>934.6</v>
      </c>
      <c r="P16" t="s">
        <v>224</v>
      </c>
      <c r="Q16" s="41">
        <v>1.6E-2</v>
      </c>
      <c r="S16" t="s">
        <v>223</v>
      </c>
      <c r="T16" s="85">
        <v>23350.400000000001</v>
      </c>
      <c r="U16" s="85">
        <v>22353.15</v>
      </c>
      <c r="V16" s="85">
        <v>23402.7</v>
      </c>
      <c r="W16" s="85">
        <v>22353.15</v>
      </c>
      <c r="X16" t="s">
        <v>378</v>
      </c>
      <c r="Y16" s="41">
        <v>4.2599999999999999E-2</v>
      </c>
    </row>
    <row r="17" spans="11:25" x14ac:dyDescent="0.3">
      <c r="K17" s="86">
        <v>45903</v>
      </c>
      <c r="L17">
        <v>946.1</v>
      </c>
      <c r="M17">
        <v>960</v>
      </c>
      <c r="N17">
        <v>969.3</v>
      </c>
      <c r="O17">
        <v>930.1</v>
      </c>
      <c r="P17" t="s">
        <v>225</v>
      </c>
      <c r="Q17" s="41">
        <v>-1.66E-2</v>
      </c>
      <c r="S17" s="86">
        <v>45903</v>
      </c>
      <c r="T17" s="85">
        <v>22397.200000000001</v>
      </c>
      <c r="U17" s="85">
        <v>22521.85</v>
      </c>
      <c r="V17" s="85">
        <v>22676.75</v>
      </c>
      <c r="W17" s="85">
        <v>22314.7</v>
      </c>
      <c r="X17" t="s">
        <v>379</v>
      </c>
      <c r="Y17" s="41">
        <v>-6.8999999999999999E-3</v>
      </c>
    </row>
    <row r="18" spans="11:25" x14ac:dyDescent="0.3">
      <c r="K18" s="86">
        <v>45691</v>
      </c>
      <c r="L18">
        <v>962.05</v>
      </c>
      <c r="M18">
        <v>963.7</v>
      </c>
      <c r="N18">
        <v>970</v>
      </c>
      <c r="O18">
        <v>943.05</v>
      </c>
      <c r="P18" t="s">
        <v>226</v>
      </c>
      <c r="Q18" s="41">
        <v>-1.6999999999999999E-3</v>
      </c>
      <c r="S18" s="86">
        <v>45691</v>
      </c>
      <c r="T18" s="85">
        <v>22552.5</v>
      </c>
      <c r="U18" s="85">
        <v>22194.55</v>
      </c>
      <c r="V18" s="85">
        <v>22633.8</v>
      </c>
      <c r="W18" s="85">
        <v>21964.6</v>
      </c>
      <c r="X18" t="s">
        <v>380</v>
      </c>
      <c r="Y18" s="41">
        <v>1.9300000000000001E-2</v>
      </c>
    </row>
    <row r="19" spans="11:25" x14ac:dyDescent="0.3">
      <c r="K19" t="s">
        <v>227</v>
      </c>
      <c r="L19">
        <v>963.7</v>
      </c>
      <c r="M19">
        <v>990</v>
      </c>
      <c r="N19" s="85">
        <v>1011.1</v>
      </c>
      <c r="O19">
        <v>957.35</v>
      </c>
      <c r="P19" t="s">
        <v>228</v>
      </c>
      <c r="Q19" s="41">
        <v>-4.0099999999999997E-2</v>
      </c>
      <c r="S19" t="s">
        <v>227</v>
      </c>
      <c r="T19" s="85">
        <v>22124.7</v>
      </c>
      <c r="U19" s="85">
        <v>22609.35</v>
      </c>
      <c r="V19" s="85">
        <v>22668.05</v>
      </c>
      <c r="W19" s="85">
        <v>22104.85</v>
      </c>
      <c r="X19" t="s">
        <v>381</v>
      </c>
      <c r="Y19" s="41">
        <v>-2.9399999999999999E-2</v>
      </c>
    </row>
    <row r="20" spans="11:25" x14ac:dyDescent="0.3">
      <c r="K20" t="s">
        <v>229</v>
      </c>
      <c r="L20" s="85">
        <v>1004</v>
      </c>
      <c r="M20" s="85">
        <v>1022</v>
      </c>
      <c r="N20" s="85">
        <v>1032.8499999999999</v>
      </c>
      <c r="O20">
        <v>991.45</v>
      </c>
      <c r="P20" t="s">
        <v>230</v>
      </c>
      <c r="Q20" s="41">
        <v>-1.8100000000000002E-2</v>
      </c>
      <c r="S20" t="s">
        <v>229</v>
      </c>
      <c r="T20" s="85">
        <v>22795.9</v>
      </c>
      <c r="U20" s="85">
        <v>22809.9</v>
      </c>
      <c r="V20" s="85">
        <v>23049.95</v>
      </c>
      <c r="W20" s="85">
        <v>22720.3</v>
      </c>
      <c r="X20" t="s">
        <v>382</v>
      </c>
      <c r="Y20" s="41">
        <v>-5.7999999999999996E-3</v>
      </c>
    </row>
    <row r="21" spans="11:25" x14ac:dyDescent="0.3">
      <c r="K21" s="86">
        <v>45902</v>
      </c>
      <c r="L21" s="85">
        <v>1022.55</v>
      </c>
      <c r="M21" s="85">
        <v>1020</v>
      </c>
      <c r="N21" s="85">
        <v>1039</v>
      </c>
      <c r="O21" s="85">
        <v>1009.1</v>
      </c>
      <c r="P21" t="s">
        <v>231</v>
      </c>
      <c r="Q21" s="41">
        <v>1.2999999999999999E-3</v>
      </c>
      <c r="S21" s="86">
        <v>45902</v>
      </c>
      <c r="T21" s="85">
        <v>22929.25</v>
      </c>
      <c r="U21" s="85">
        <v>23543.8</v>
      </c>
      <c r="V21" s="85">
        <v>23568.6</v>
      </c>
      <c r="W21" s="85">
        <v>22774.85</v>
      </c>
      <c r="X21" t="s">
        <v>379</v>
      </c>
      <c r="Y21" s="41">
        <v>-2.6800000000000001E-2</v>
      </c>
    </row>
    <row r="22" spans="11:25" x14ac:dyDescent="0.3">
      <c r="K22" s="86">
        <v>45690</v>
      </c>
      <c r="L22" s="85">
        <v>1021.2</v>
      </c>
      <c r="M22" s="85">
        <v>1026</v>
      </c>
      <c r="N22" s="85">
        <v>1075</v>
      </c>
      <c r="O22" s="85">
        <v>1010.15</v>
      </c>
      <c r="P22" t="s">
        <v>232</v>
      </c>
      <c r="Q22" s="41">
        <v>-3.3999999999999998E-3</v>
      </c>
      <c r="S22" s="86">
        <v>45690</v>
      </c>
      <c r="T22" s="85">
        <v>23559.95</v>
      </c>
      <c r="U22" s="85">
        <v>23528.6</v>
      </c>
      <c r="V22" s="85">
        <v>23807.3</v>
      </c>
      <c r="W22" s="85">
        <v>23222</v>
      </c>
      <c r="X22" t="s">
        <v>383</v>
      </c>
      <c r="Y22" s="41">
        <v>2.2000000000000001E-3</v>
      </c>
    </row>
    <row r="23" spans="11:25" x14ac:dyDescent="0.3">
      <c r="K23" t="s">
        <v>233</v>
      </c>
      <c r="L23" s="85">
        <v>1024.6500000000001</v>
      </c>
      <c r="M23">
        <v>989.05</v>
      </c>
      <c r="N23" s="85">
        <v>1031.2</v>
      </c>
      <c r="O23">
        <v>938</v>
      </c>
      <c r="P23" t="s">
        <v>234</v>
      </c>
      <c r="Q23" s="41">
        <v>3.2500000000000001E-2</v>
      </c>
      <c r="S23" t="s">
        <v>233</v>
      </c>
      <c r="T23" s="85">
        <v>23508.400000000001</v>
      </c>
      <c r="U23" s="85">
        <v>22940.15</v>
      </c>
      <c r="V23" s="85">
        <v>23546.799999999999</v>
      </c>
      <c r="W23" s="85">
        <v>22786.9</v>
      </c>
      <c r="X23" t="s">
        <v>384</v>
      </c>
      <c r="Y23" s="41">
        <v>1.7999999999999999E-2</v>
      </c>
    </row>
    <row r="24" spans="11:25" x14ac:dyDescent="0.3">
      <c r="K24" t="s">
        <v>235</v>
      </c>
      <c r="L24">
        <v>992.35</v>
      </c>
      <c r="M24">
        <v>960</v>
      </c>
      <c r="N24" s="85">
        <v>1004</v>
      </c>
      <c r="O24">
        <v>944.45</v>
      </c>
      <c r="P24" t="s">
        <v>236</v>
      </c>
      <c r="Q24" s="41">
        <v>3.9699999999999999E-2</v>
      </c>
      <c r="S24" t="s">
        <v>235</v>
      </c>
      <c r="T24" s="85">
        <v>23092.2</v>
      </c>
      <c r="U24" s="85">
        <v>23290.400000000001</v>
      </c>
      <c r="V24" s="85">
        <v>23426.3</v>
      </c>
      <c r="W24" s="85">
        <v>22976.85</v>
      </c>
      <c r="X24" t="s">
        <v>385</v>
      </c>
      <c r="Y24" s="41">
        <v>-4.7999999999999996E-3</v>
      </c>
    </row>
    <row r="25" spans="11:25" x14ac:dyDescent="0.3">
      <c r="K25" s="86">
        <v>45992</v>
      </c>
      <c r="L25">
        <v>954.45</v>
      </c>
      <c r="M25">
        <v>945.2</v>
      </c>
      <c r="N25">
        <v>977</v>
      </c>
      <c r="O25">
        <v>926.05</v>
      </c>
      <c r="P25" t="s">
        <v>237</v>
      </c>
      <c r="Q25" s="41">
        <v>-1.89E-2</v>
      </c>
      <c r="S25" s="86">
        <v>45992</v>
      </c>
      <c r="T25" s="85">
        <v>23203.200000000001</v>
      </c>
      <c r="U25" s="85">
        <v>23195.4</v>
      </c>
      <c r="V25" s="85">
        <v>23391.65</v>
      </c>
      <c r="W25" s="85">
        <v>23047.25</v>
      </c>
      <c r="X25" t="s">
        <v>385</v>
      </c>
      <c r="Y25" s="41">
        <v>-9.7000000000000003E-3</v>
      </c>
    </row>
    <row r="26" spans="11:25" x14ac:dyDescent="0.3">
      <c r="K26" s="86">
        <v>45778</v>
      </c>
      <c r="L26">
        <v>972.8</v>
      </c>
      <c r="M26">
        <v>935</v>
      </c>
      <c r="N26">
        <v>982.8</v>
      </c>
      <c r="O26">
        <v>929.1</v>
      </c>
      <c r="P26" t="s">
        <v>238</v>
      </c>
      <c r="Q26" s="41">
        <v>3.5499999999999997E-2</v>
      </c>
      <c r="S26" s="86">
        <v>45778</v>
      </c>
      <c r="T26" s="85">
        <v>23431.5</v>
      </c>
      <c r="U26" s="85">
        <v>24045.8</v>
      </c>
      <c r="V26" s="85">
        <v>24089.95</v>
      </c>
      <c r="W26" s="85">
        <v>23344.35</v>
      </c>
      <c r="X26" t="s">
        <v>386</v>
      </c>
      <c r="Y26" s="41">
        <v>-2.3900000000000001E-2</v>
      </c>
    </row>
    <row r="27" spans="11:25" x14ac:dyDescent="0.3">
      <c r="K27" t="s">
        <v>239</v>
      </c>
      <c r="L27">
        <v>939.45</v>
      </c>
      <c r="M27">
        <v>907.95</v>
      </c>
      <c r="N27">
        <v>941.9</v>
      </c>
      <c r="O27">
        <v>893.1</v>
      </c>
      <c r="P27" t="s">
        <v>240</v>
      </c>
      <c r="Q27" s="41">
        <v>3.4700000000000002E-2</v>
      </c>
      <c r="S27" t="s">
        <v>239</v>
      </c>
      <c r="T27" s="85">
        <v>24004.75</v>
      </c>
      <c r="U27" s="85">
        <v>23796.9</v>
      </c>
      <c r="V27" s="85">
        <v>24226.7</v>
      </c>
      <c r="W27" s="85">
        <v>23460.45</v>
      </c>
      <c r="X27" t="s">
        <v>381</v>
      </c>
      <c r="Y27" s="41">
        <v>8.0000000000000002E-3</v>
      </c>
    </row>
    <row r="28" spans="11:25" x14ac:dyDescent="0.3">
      <c r="K28" t="s">
        <v>241</v>
      </c>
      <c r="L28">
        <v>907.95</v>
      </c>
      <c r="M28">
        <v>894.95</v>
      </c>
      <c r="N28">
        <v>912.95</v>
      </c>
      <c r="O28">
        <v>890</v>
      </c>
      <c r="P28" t="s">
        <v>242</v>
      </c>
      <c r="Q28" s="41">
        <v>2.0799999999999999E-2</v>
      </c>
      <c r="S28" t="s">
        <v>241</v>
      </c>
      <c r="T28" s="85">
        <v>23813.4</v>
      </c>
      <c r="U28" s="85">
        <v>23738.2</v>
      </c>
      <c r="V28" s="85">
        <v>23938.85</v>
      </c>
      <c r="W28" s="85">
        <v>23647.200000000001</v>
      </c>
      <c r="X28" t="s">
        <v>387</v>
      </c>
      <c r="Y28" s="41">
        <v>9.5999999999999992E-3</v>
      </c>
    </row>
    <row r="29" spans="11:25" x14ac:dyDescent="0.3">
      <c r="K29" t="s">
        <v>243</v>
      </c>
      <c r="L29">
        <v>889.45</v>
      </c>
      <c r="M29">
        <v>929.7</v>
      </c>
      <c r="N29">
        <v>934.65</v>
      </c>
      <c r="O29">
        <v>882.9</v>
      </c>
      <c r="P29" t="s">
        <v>244</v>
      </c>
      <c r="Q29" s="41">
        <v>-4.3299999999999998E-2</v>
      </c>
      <c r="S29" t="s">
        <v>243</v>
      </c>
      <c r="T29" s="85">
        <v>23587.5</v>
      </c>
      <c r="U29" s="85">
        <v>24753.4</v>
      </c>
      <c r="V29" s="85">
        <v>24781.25</v>
      </c>
      <c r="W29" s="85">
        <v>23537.35</v>
      </c>
      <c r="X29" t="s">
        <v>388</v>
      </c>
      <c r="Y29" s="41">
        <v>-4.7699999999999999E-2</v>
      </c>
    </row>
    <row r="30" spans="11:25" x14ac:dyDescent="0.3">
      <c r="K30" s="86">
        <v>45516</v>
      </c>
      <c r="L30">
        <v>929.7</v>
      </c>
      <c r="M30">
        <v>974</v>
      </c>
      <c r="N30">
        <v>974</v>
      </c>
      <c r="O30">
        <v>907.4</v>
      </c>
      <c r="P30" t="s">
        <v>245</v>
      </c>
      <c r="Q30" s="41">
        <v>-4.5900000000000003E-2</v>
      </c>
      <c r="S30" s="86">
        <v>45516</v>
      </c>
      <c r="T30" s="85">
        <v>24768.3</v>
      </c>
      <c r="U30" s="85">
        <v>24633.9</v>
      </c>
      <c r="V30" s="85">
        <v>24792.3</v>
      </c>
      <c r="W30" s="85">
        <v>24180.799999999999</v>
      </c>
      <c r="X30" t="s">
        <v>389</v>
      </c>
      <c r="Y30" s="41">
        <v>3.7000000000000002E-3</v>
      </c>
    </row>
    <row r="31" spans="11:25" x14ac:dyDescent="0.3">
      <c r="K31" s="86">
        <v>45303</v>
      </c>
      <c r="L31">
        <v>974.45</v>
      </c>
      <c r="M31">
        <v>958.65</v>
      </c>
      <c r="N31">
        <v>976.4</v>
      </c>
      <c r="O31">
        <v>946.25</v>
      </c>
      <c r="P31" t="s">
        <v>246</v>
      </c>
      <c r="Q31" s="41">
        <v>1.6500000000000001E-2</v>
      </c>
      <c r="S31" s="86">
        <v>45303</v>
      </c>
      <c r="T31" s="85">
        <v>24677.8</v>
      </c>
      <c r="U31" s="85">
        <v>24140.85</v>
      </c>
      <c r="V31" s="85">
        <v>24857.75</v>
      </c>
      <c r="W31" s="85">
        <v>24008.65</v>
      </c>
      <c r="X31" t="s">
        <v>380</v>
      </c>
      <c r="Y31" s="41">
        <v>2.2700000000000001E-2</v>
      </c>
    </row>
    <row r="32" spans="11:25" x14ac:dyDescent="0.3">
      <c r="K32" t="s">
        <v>247</v>
      </c>
      <c r="L32">
        <v>958.65</v>
      </c>
      <c r="M32">
        <v>950</v>
      </c>
      <c r="N32">
        <v>972.7</v>
      </c>
      <c r="O32">
        <v>938.3</v>
      </c>
      <c r="P32" t="s">
        <v>248</v>
      </c>
      <c r="Q32" s="41">
        <v>1.4200000000000001E-2</v>
      </c>
      <c r="S32" t="s">
        <v>247</v>
      </c>
      <c r="T32" s="85">
        <v>24131.1</v>
      </c>
      <c r="U32" s="85">
        <v>24253.55</v>
      </c>
      <c r="V32" s="85">
        <v>24354.55</v>
      </c>
      <c r="W32" s="85">
        <v>23873.35</v>
      </c>
      <c r="X32" t="s">
        <v>390</v>
      </c>
      <c r="Y32" s="41">
        <v>9.4000000000000004E-3</v>
      </c>
    </row>
    <row r="33" spans="11:25" x14ac:dyDescent="0.3">
      <c r="K33" t="s">
        <v>249</v>
      </c>
      <c r="L33">
        <v>945.2</v>
      </c>
      <c r="M33">
        <v>929.8</v>
      </c>
      <c r="N33">
        <v>948.5</v>
      </c>
      <c r="O33">
        <v>900.5</v>
      </c>
      <c r="P33" t="s">
        <v>250</v>
      </c>
      <c r="Q33" s="41">
        <v>2.18E-2</v>
      </c>
      <c r="S33" t="s">
        <v>249</v>
      </c>
      <c r="T33" s="85">
        <v>23907.25</v>
      </c>
      <c r="U33" s="85">
        <v>23605.3</v>
      </c>
      <c r="V33" s="85">
        <v>23956.1</v>
      </c>
      <c r="W33" s="85">
        <v>23263.15</v>
      </c>
      <c r="X33" t="s">
        <v>391</v>
      </c>
      <c r="Y33" s="41">
        <v>1.5900000000000001E-2</v>
      </c>
    </row>
    <row r="34" spans="11:25" x14ac:dyDescent="0.3">
      <c r="K34" s="86">
        <v>45576</v>
      </c>
      <c r="L34">
        <v>925</v>
      </c>
      <c r="M34">
        <v>993.2</v>
      </c>
      <c r="N34">
        <v>997.95</v>
      </c>
      <c r="O34">
        <v>922</v>
      </c>
      <c r="P34" t="s">
        <v>251</v>
      </c>
      <c r="Q34" s="41">
        <v>-6.8400000000000002E-2</v>
      </c>
      <c r="S34" s="86">
        <v>45576</v>
      </c>
      <c r="T34" s="85">
        <v>23532.7</v>
      </c>
      <c r="U34" s="85">
        <v>24087.25</v>
      </c>
      <c r="V34" s="85">
        <v>24336.799999999999</v>
      </c>
      <c r="W34" s="85">
        <v>23484.15</v>
      </c>
      <c r="X34" t="s">
        <v>392</v>
      </c>
      <c r="Y34" s="41">
        <v>-2.5499999999999998E-2</v>
      </c>
    </row>
    <row r="35" spans="11:25" x14ac:dyDescent="0.3">
      <c r="K35" s="86">
        <v>45362</v>
      </c>
      <c r="L35">
        <v>992.95</v>
      </c>
      <c r="M35">
        <v>998</v>
      </c>
      <c r="N35" s="85">
        <v>1013.1</v>
      </c>
      <c r="O35">
        <v>975.4</v>
      </c>
      <c r="P35" t="s">
        <v>252</v>
      </c>
      <c r="Q35" s="41">
        <v>-1.11E-2</v>
      </c>
      <c r="S35" s="86">
        <v>45362</v>
      </c>
      <c r="T35" s="85">
        <v>24148.2</v>
      </c>
      <c r="U35" s="85">
        <v>24315.75</v>
      </c>
      <c r="V35" s="85">
        <v>24537.599999999999</v>
      </c>
      <c r="W35" s="85">
        <v>23816.15</v>
      </c>
      <c r="X35" t="s">
        <v>393</v>
      </c>
      <c r="Y35" s="41">
        <v>-6.4000000000000003E-3</v>
      </c>
    </row>
    <row r="36" spans="11:25" x14ac:dyDescent="0.3">
      <c r="K36" t="s">
        <v>253</v>
      </c>
      <c r="L36" s="85">
        <v>1004.1</v>
      </c>
      <c r="M36">
        <v>973.05</v>
      </c>
      <c r="N36" s="85">
        <v>1027.9000000000001</v>
      </c>
      <c r="O36">
        <v>964</v>
      </c>
      <c r="P36" t="s">
        <v>254</v>
      </c>
      <c r="Q36" s="41">
        <v>3.1899999999999998E-2</v>
      </c>
      <c r="S36" t="s">
        <v>253</v>
      </c>
      <c r="T36" s="85">
        <v>24304.35</v>
      </c>
      <c r="U36" s="85">
        <v>24251.1</v>
      </c>
      <c r="V36" s="85">
        <v>24498.2</v>
      </c>
      <c r="W36" s="85">
        <v>24134.9</v>
      </c>
      <c r="X36" t="s">
        <v>394</v>
      </c>
      <c r="Y36" s="41">
        <v>5.1000000000000004E-3</v>
      </c>
    </row>
    <row r="37" spans="11:25" x14ac:dyDescent="0.3">
      <c r="K37" t="s">
        <v>255</v>
      </c>
      <c r="L37">
        <v>973.05</v>
      </c>
      <c r="M37" s="85">
        <v>1047</v>
      </c>
      <c r="N37" s="85">
        <v>1059.45</v>
      </c>
      <c r="O37">
        <v>970.5</v>
      </c>
      <c r="P37" t="s">
        <v>256</v>
      </c>
      <c r="Q37" s="41">
        <v>-0.1099</v>
      </c>
      <c r="S37" t="s">
        <v>255</v>
      </c>
      <c r="T37" s="85">
        <v>24180.799999999999</v>
      </c>
      <c r="U37" s="85">
        <v>24956.15</v>
      </c>
      <c r="V37" s="85">
        <v>24978.3</v>
      </c>
      <c r="W37" s="85">
        <v>24073.9</v>
      </c>
      <c r="X37" t="s">
        <v>388</v>
      </c>
      <c r="Y37" s="41">
        <v>-2.7099999999999999E-2</v>
      </c>
    </row>
    <row r="38" spans="11:25" x14ac:dyDescent="0.3">
      <c r="K38" t="s">
        <v>257</v>
      </c>
      <c r="L38" s="85">
        <v>1093.25</v>
      </c>
      <c r="M38" s="85">
        <v>1120</v>
      </c>
      <c r="N38" s="85">
        <v>1138</v>
      </c>
      <c r="O38" s="85">
        <v>1072.05</v>
      </c>
      <c r="P38" t="s">
        <v>258</v>
      </c>
      <c r="Q38" s="41">
        <v>-1.78E-2</v>
      </c>
      <c r="S38" t="s">
        <v>257</v>
      </c>
      <c r="T38" s="85">
        <v>24854.05</v>
      </c>
      <c r="U38" s="85">
        <v>25023.45</v>
      </c>
      <c r="V38" s="85">
        <v>25212.05</v>
      </c>
      <c r="W38" s="85">
        <v>24567.65</v>
      </c>
      <c r="X38" t="s">
        <v>395</v>
      </c>
      <c r="Y38" s="41">
        <v>-4.4000000000000003E-3</v>
      </c>
    </row>
    <row r="39" spans="11:25" x14ac:dyDescent="0.3">
      <c r="K39" s="86">
        <v>45453</v>
      </c>
      <c r="L39" s="85">
        <v>1113.0999999999999</v>
      </c>
      <c r="M39" s="85">
        <v>1130.4000000000001</v>
      </c>
      <c r="N39" s="85">
        <v>1142.6500000000001</v>
      </c>
      <c r="O39" s="85">
        <v>1101.6500000000001</v>
      </c>
      <c r="P39" t="s">
        <v>259</v>
      </c>
      <c r="Q39" s="41">
        <v>-1.5299999999999999E-2</v>
      </c>
      <c r="S39" s="86">
        <v>45453</v>
      </c>
      <c r="T39" s="85">
        <v>24964.25</v>
      </c>
      <c r="U39" s="85">
        <v>25084.1</v>
      </c>
      <c r="V39" s="85">
        <v>25234.05</v>
      </c>
      <c r="W39" s="85">
        <v>24694.35</v>
      </c>
      <c r="X39" t="s">
        <v>396</v>
      </c>
      <c r="Y39" s="41">
        <v>-2E-3</v>
      </c>
    </row>
    <row r="40" spans="11:25" x14ac:dyDescent="0.3">
      <c r="K40" t="s">
        <v>260</v>
      </c>
      <c r="L40" s="85">
        <v>1130.4000000000001</v>
      </c>
      <c r="M40" s="85">
        <v>1194.95</v>
      </c>
      <c r="N40" s="85">
        <v>1213.6500000000001</v>
      </c>
      <c r="O40" s="85">
        <v>1125.2</v>
      </c>
      <c r="P40" t="s">
        <v>261</v>
      </c>
      <c r="Q40" s="41">
        <v>-5.9200000000000003E-2</v>
      </c>
      <c r="S40" t="s">
        <v>260</v>
      </c>
      <c r="T40" s="85">
        <v>25014.6</v>
      </c>
      <c r="U40" s="85">
        <v>26061.3</v>
      </c>
      <c r="V40" s="85">
        <v>26134.7</v>
      </c>
      <c r="W40" s="85">
        <v>24966.799999999999</v>
      </c>
      <c r="X40" t="s">
        <v>397</v>
      </c>
      <c r="Y40" s="41">
        <v>-4.4499999999999998E-2</v>
      </c>
    </row>
    <row r="41" spans="11:25" x14ac:dyDescent="0.3">
      <c r="K41" t="s">
        <v>262</v>
      </c>
      <c r="L41" s="85">
        <v>1201.55</v>
      </c>
      <c r="M41" s="85">
        <v>1222</v>
      </c>
      <c r="N41" s="85">
        <v>1233.6500000000001</v>
      </c>
      <c r="O41" s="85">
        <v>1182.05</v>
      </c>
      <c r="P41" t="s">
        <v>263</v>
      </c>
      <c r="Q41" s="41">
        <v>-1.26E-2</v>
      </c>
      <c r="S41" t="s">
        <v>262</v>
      </c>
      <c r="T41" s="85">
        <v>26178.95</v>
      </c>
      <c r="U41" s="85">
        <v>25872.55</v>
      </c>
      <c r="V41" s="85">
        <v>26277.35</v>
      </c>
      <c r="W41" s="85">
        <v>25847.35</v>
      </c>
      <c r="X41" t="s">
        <v>377</v>
      </c>
      <c r="Y41" s="41">
        <v>1.4999999999999999E-2</v>
      </c>
    </row>
    <row r="42" spans="11:25" x14ac:dyDescent="0.3">
      <c r="K42" t="s">
        <v>264</v>
      </c>
      <c r="L42" s="85">
        <v>1216.8499999999999</v>
      </c>
      <c r="M42" s="85">
        <v>1220</v>
      </c>
      <c r="N42" s="85">
        <v>1234.3</v>
      </c>
      <c r="O42" s="85">
        <v>1194</v>
      </c>
      <c r="P42" t="s">
        <v>265</v>
      </c>
      <c r="Q42" s="41">
        <v>5.4000000000000003E-3</v>
      </c>
      <c r="S42" t="s">
        <v>264</v>
      </c>
      <c r="T42" s="85">
        <v>25790.95</v>
      </c>
      <c r="U42" s="85">
        <v>25406.65</v>
      </c>
      <c r="V42" s="85">
        <v>25849.25</v>
      </c>
      <c r="W42" s="85">
        <v>25285.55</v>
      </c>
      <c r="X42" t="s">
        <v>398</v>
      </c>
      <c r="Y42" s="41">
        <v>1.7100000000000001E-2</v>
      </c>
    </row>
    <row r="43" spans="11:25" x14ac:dyDescent="0.3">
      <c r="K43" s="86">
        <v>45513</v>
      </c>
      <c r="L43" s="85">
        <v>1210.3</v>
      </c>
      <c r="M43" s="85">
        <v>1173.8499999999999</v>
      </c>
      <c r="N43" s="85">
        <v>1227</v>
      </c>
      <c r="O43" s="85">
        <v>1169.9000000000001</v>
      </c>
      <c r="P43" t="s">
        <v>266</v>
      </c>
      <c r="Q43" s="41">
        <v>3.1099999999999999E-2</v>
      </c>
      <c r="S43" s="86">
        <v>45513</v>
      </c>
      <c r="T43" s="85">
        <v>25356.5</v>
      </c>
      <c r="U43" s="85">
        <v>24823.4</v>
      </c>
      <c r="V43" s="85">
        <v>25433.35</v>
      </c>
      <c r="W43" s="85">
        <v>24753.15</v>
      </c>
      <c r="X43" t="s">
        <v>399</v>
      </c>
      <c r="Y43" s="41">
        <v>2.0299999999999999E-2</v>
      </c>
    </row>
    <row r="44" spans="11:25" x14ac:dyDescent="0.3">
      <c r="K44" s="86">
        <v>45300</v>
      </c>
      <c r="L44" s="85">
        <v>1173.8499999999999</v>
      </c>
      <c r="M44" s="85">
        <v>1200</v>
      </c>
      <c r="N44" s="85">
        <v>1227</v>
      </c>
      <c r="O44" s="85">
        <v>1168.75</v>
      </c>
      <c r="P44" t="s">
        <v>267</v>
      </c>
      <c r="Q44" s="41">
        <v>-2.1899999999999999E-2</v>
      </c>
      <c r="S44" s="86">
        <v>45300</v>
      </c>
      <c r="T44" s="85">
        <v>24852.15</v>
      </c>
      <c r="U44" s="85">
        <v>25333.599999999999</v>
      </c>
      <c r="V44" s="85">
        <v>25333.65</v>
      </c>
      <c r="W44" s="85">
        <v>24801.3</v>
      </c>
      <c r="X44" t="s">
        <v>394</v>
      </c>
      <c r="Y44" s="41">
        <v>-1.52E-2</v>
      </c>
    </row>
    <row r="45" spans="11:25" x14ac:dyDescent="0.3">
      <c r="K45" t="s">
        <v>268</v>
      </c>
      <c r="L45" s="85">
        <v>1200.1500000000001</v>
      </c>
      <c r="M45" s="85">
        <v>1205</v>
      </c>
      <c r="N45" s="85">
        <v>1221.8499999999999</v>
      </c>
      <c r="O45" s="85">
        <v>1185.25</v>
      </c>
      <c r="P45" t="s">
        <v>269</v>
      </c>
      <c r="Q45" s="41">
        <v>2.8E-3</v>
      </c>
      <c r="S45" t="s">
        <v>268</v>
      </c>
      <c r="T45" s="85">
        <v>25235.9</v>
      </c>
      <c r="U45" s="85">
        <v>24906.1</v>
      </c>
      <c r="V45" s="85">
        <v>25268.35</v>
      </c>
      <c r="W45" s="85">
        <v>24874.7</v>
      </c>
      <c r="X45" t="s">
        <v>400</v>
      </c>
      <c r="Y45" s="41">
        <v>1.66E-2</v>
      </c>
    </row>
    <row r="46" spans="11:25" x14ac:dyDescent="0.3">
      <c r="K46" t="s">
        <v>270</v>
      </c>
      <c r="L46" s="85">
        <v>1196.8</v>
      </c>
      <c r="M46" s="85">
        <v>1198</v>
      </c>
      <c r="N46" s="85">
        <v>1215</v>
      </c>
      <c r="O46" s="85">
        <v>1166.75</v>
      </c>
      <c r="P46" t="s">
        <v>271</v>
      </c>
      <c r="Q46" s="41">
        <v>7.6E-3</v>
      </c>
      <c r="S46" t="s">
        <v>270</v>
      </c>
      <c r="T46" s="85">
        <v>24823.15</v>
      </c>
      <c r="U46" s="85">
        <v>24636.35</v>
      </c>
      <c r="V46" s="85">
        <v>24867.35</v>
      </c>
      <c r="W46" s="85">
        <v>24522.95</v>
      </c>
      <c r="X46" t="s">
        <v>401</v>
      </c>
      <c r="Y46" s="41">
        <v>1.15E-2</v>
      </c>
    </row>
    <row r="47" spans="11:25" x14ac:dyDescent="0.3">
      <c r="K47" s="86">
        <v>45604</v>
      </c>
      <c r="L47" s="85">
        <v>1187.75</v>
      </c>
      <c r="M47" s="85">
        <v>1176</v>
      </c>
      <c r="N47" s="85">
        <v>1190.6500000000001</v>
      </c>
      <c r="O47" s="85">
        <v>1158.7</v>
      </c>
      <c r="P47" t="s">
        <v>272</v>
      </c>
      <c r="Q47" s="41">
        <v>1.2999999999999999E-3</v>
      </c>
      <c r="S47" s="86">
        <v>45604</v>
      </c>
      <c r="T47" s="85">
        <v>24541.15</v>
      </c>
      <c r="U47" s="85">
        <v>24320.05</v>
      </c>
      <c r="V47" s="85">
        <v>24563.9</v>
      </c>
      <c r="W47" s="85">
        <v>24099.7</v>
      </c>
      <c r="X47" t="s">
        <v>392</v>
      </c>
      <c r="Y47" s="41">
        <v>7.1000000000000004E-3</v>
      </c>
    </row>
    <row r="48" spans="11:25" x14ac:dyDescent="0.3">
      <c r="K48" s="86">
        <v>45390</v>
      </c>
      <c r="L48" s="85">
        <v>1186.1500000000001</v>
      </c>
      <c r="M48" s="85">
        <v>1176</v>
      </c>
      <c r="N48" s="85">
        <v>1213.5999999999999</v>
      </c>
      <c r="O48" s="85">
        <v>1151</v>
      </c>
      <c r="P48" t="s">
        <v>273</v>
      </c>
      <c r="Q48" s="41">
        <v>-6.3E-3</v>
      </c>
      <c r="S48" s="86">
        <v>45390</v>
      </c>
      <c r="T48" s="85">
        <v>24367.5</v>
      </c>
      <c r="U48" s="85">
        <v>24302.85</v>
      </c>
      <c r="V48" s="85">
        <v>24419.75</v>
      </c>
      <c r="W48" s="85">
        <v>23893.7</v>
      </c>
      <c r="X48" t="s">
        <v>366</v>
      </c>
      <c r="Y48" s="41">
        <v>-1.4200000000000001E-2</v>
      </c>
    </row>
    <row r="49" spans="11:25" x14ac:dyDescent="0.3">
      <c r="K49" t="s">
        <v>274</v>
      </c>
      <c r="L49" s="85">
        <v>1193.6500000000001</v>
      </c>
      <c r="M49" s="85">
        <v>1215</v>
      </c>
      <c r="N49" s="85">
        <v>1222</v>
      </c>
      <c r="O49" s="85">
        <v>1167</v>
      </c>
      <c r="P49" t="s">
        <v>275</v>
      </c>
      <c r="Q49" s="41">
        <v>-1.6500000000000001E-2</v>
      </c>
      <c r="S49" t="s">
        <v>274</v>
      </c>
      <c r="T49" s="85">
        <v>24717.7</v>
      </c>
      <c r="U49" s="85">
        <v>24943.3</v>
      </c>
      <c r="V49" s="85">
        <v>25078.3</v>
      </c>
      <c r="W49" s="85">
        <v>24686.85</v>
      </c>
      <c r="X49" t="s">
        <v>402</v>
      </c>
      <c r="Y49" s="41">
        <v>-4.7000000000000002E-3</v>
      </c>
    </row>
    <row r="50" spans="11:25" x14ac:dyDescent="0.3">
      <c r="K50" t="s">
        <v>276</v>
      </c>
      <c r="L50" s="85">
        <v>1213.6500000000001</v>
      </c>
      <c r="M50" s="85">
        <v>1170.45</v>
      </c>
      <c r="N50" s="85">
        <v>1247.0999999999999</v>
      </c>
      <c r="O50" s="85">
        <v>1167.74</v>
      </c>
      <c r="P50" t="s">
        <v>277</v>
      </c>
      <c r="Q50" s="41">
        <v>3.4299999999999997E-2</v>
      </c>
      <c r="S50" t="s">
        <v>276</v>
      </c>
      <c r="T50" s="85">
        <v>24834.85</v>
      </c>
      <c r="U50" s="85">
        <v>24445.75</v>
      </c>
      <c r="V50" s="85">
        <v>24861.15</v>
      </c>
      <c r="W50" s="85">
        <v>24074.2</v>
      </c>
      <c r="X50" t="s">
        <v>375</v>
      </c>
      <c r="Y50" s="41">
        <v>1.24E-2</v>
      </c>
    </row>
    <row r="51" spans="11:25" x14ac:dyDescent="0.3">
      <c r="K51" t="s">
        <v>278</v>
      </c>
      <c r="L51" s="85">
        <v>1173.42</v>
      </c>
      <c r="M51" s="85">
        <v>1138.3499999999999</v>
      </c>
      <c r="N51" s="85">
        <v>1185.3699999999999</v>
      </c>
      <c r="O51" s="85">
        <v>1125.81</v>
      </c>
      <c r="P51" t="s">
        <v>279</v>
      </c>
      <c r="Q51" s="41">
        <v>3.1E-2</v>
      </c>
      <c r="S51" t="s">
        <v>278</v>
      </c>
      <c r="T51" s="85">
        <v>24530.9</v>
      </c>
      <c r="U51" s="85">
        <v>24587.599999999999</v>
      </c>
      <c r="V51" s="85">
        <v>24854.799999999999</v>
      </c>
      <c r="W51" s="85">
        <v>24504.45</v>
      </c>
      <c r="X51" t="s">
        <v>403</v>
      </c>
      <c r="Y51" s="41">
        <v>1.1999999999999999E-3</v>
      </c>
    </row>
    <row r="52" spans="11:25" x14ac:dyDescent="0.3">
      <c r="K52" s="86">
        <v>45480</v>
      </c>
      <c r="L52" s="85">
        <v>1138.0999999999999</v>
      </c>
      <c r="M52" s="85">
        <v>1124.03</v>
      </c>
      <c r="N52" s="85">
        <v>1154.1500000000001</v>
      </c>
      <c r="O52" s="85">
        <v>1111.68</v>
      </c>
      <c r="P52" t="s">
        <v>280</v>
      </c>
      <c r="Q52" s="41">
        <v>1.3100000000000001E-2</v>
      </c>
      <c r="S52" s="86">
        <v>45480</v>
      </c>
      <c r="T52" s="85">
        <v>24502.15</v>
      </c>
      <c r="U52" s="85">
        <v>24329.45</v>
      </c>
      <c r="V52" s="85">
        <v>24592.2</v>
      </c>
      <c r="W52" s="85">
        <v>24141.8</v>
      </c>
      <c r="X52" t="s">
        <v>404</v>
      </c>
      <c r="Y52" s="41">
        <v>7.3000000000000001E-3</v>
      </c>
    </row>
    <row r="53" spans="11:25" x14ac:dyDescent="0.3">
      <c r="K53" t="s">
        <v>281</v>
      </c>
      <c r="L53" s="85">
        <v>1123.44</v>
      </c>
      <c r="M53" s="85">
        <v>1076.72</v>
      </c>
      <c r="N53" s="85">
        <v>1140.6199999999999</v>
      </c>
      <c r="O53" s="85">
        <v>1066.74</v>
      </c>
      <c r="P53" t="s">
        <v>282</v>
      </c>
      <c r="Q53" s="41">
        <v>3.6400000000000002E-2</v>
      </c>
      <c r="S53" t="s">
        <v>281</v>
      </c>
      <c r="T53" s="85">
        <v>24323.85</v>
      </c>
      <c r="U53" s="85">
        <v>23992.95</v>
      </c>
      <c r="V53" s="85">
        <v>24401</v>
      </c>
      <c r="W53" s="85">
        <v>23992.7</v>
      </c>
      <c r="X53" t="s">
        <v>397</v>
      </c>
      <c r="Y53" s="41">
        <v>1.2999999999999999E-2</v>
      </c>
    </row>
    <row r="54" spans="11:25" x14ac:dyDescent="0.3">
      <c r="K54" t="s">
        <v>283</v>
      </c>
      <c r="L54" s="85">
        <v>1083.98</v>
      </c>
      <c r="M54" s="85">
        <v>1066.8900000000001</v>
      </c>
      <c r="N54" s="85">
        <v>1094.5899999999999</v>
      </c>
      <c r="O54" s="85">
        <v>1063.93</v>
      </c>
      <c r="P54" t="s">
        <v>284</v>
      </c>
      <c r="Q54" s="41">
        <v>1.1599999999999999E-2</v>
      </c>
      <c r="S54" t="s">
        <v>283</v>
      </c>
      <c r="T54" s="85">
        <v>24010.6</v>
      </c>
      <c r="U54" s="85">
        <v>23382.3</v>
      </c>
      <c r="V54" s="85">
        <v>24174</v>
      </c>
      <c r="W54" s="85">
        <v>23350</v>
      </c>
      <c r="X54" t="s">
        <v>378</v>
      </c>
      <c r="Y54" s="41">
        <v>2.1700000000000001E-2</v>
      </c>
    </row>
    <row r="55" spans="11:25" x14ac:dyDescent="0.3">
      <c r="K55" t="s">
        <v>285</v>
      </c>
      <c r="L55" s="85">
        <v>1071.58</v>
      </c>
      <c r="M55" s="85">
        <v>1098.79</v>
      </c>
      <c r="N55" s="85">
        <v>1117.02</v>
      </c>
      <c r="O55" s="85">
        <v>1068.52</v>
      </c>
      <c r="P55" t="s">
        <v>286</v>
      </c>
      <c r="Q55" s="41">
        <v>-2.4799999999999999E-2</v>
      </c>
      <c r="S55" t="s">
        <v>285</v>
      </c>
      <c r="T55" s="85">
        <v>23501.1</v>
      </c>
      <c r="U55" s="85">
        <v>23570.799999999999</v>
      </c>
      <c r="V55" s="85">
        <v>23667.1</v>
      </c>
      <c r="W55" s="85">
        <v>23398.2</v>
      </c>
      <c r="X55" t="s">
        <v>405</v>
      </c>
      <c r="Y55" s="41">
        <v>1.5E-3</v>
      </c>
    </row>
    <row r="56" spans="11:25" x14ac:dyDescent="0.3">
      <c r="K56" s="86">
        <v>45541</v>
      </c>
      <c r="L56" s="85">
        <v>1098.79</v>
      </c>
      <c r="M56" s="85">
        <v>1125.02</v>
      </c>
      <c r="N56" s="85">
        <v>1130.74</v>
      </c>
      <c r="O56" s="85">
        <v>1090.5</v>
      </c>
      <c r="P56" t="s">
        <v>287</v>
      </c>
      <c r="Q56" s="41">
        <v>-2.0400000000000001E-2</v>
      </c>
      <c r="S56" s="86">
        <v>45541</v>
      </c>
      <c r="T56" s="85">
        <v>23465.599999999999</v>
      </c>
      <c r="U56" s="85">
        <v>23319.15</v>
      </c>
      <c r="V56" s="85">
        <v>23490.400000000001</v>
      </c>
      <c r="W56" s="85">
        <v>23206.65</v>
      </c>
      <c r="X56" t="s">
        <v>388</v>
      </c>
      <c r="Y56" s="41">
        <v>7.4999999999999997E-3</v>
      </c>
    </row>
    <row r="57" spans="11:25" x14ac:dyDescent="0.3">
      <c r="K57" s="86">
        <v>45328</v>
      </c>
      <c r="L57" s="85">
        <v>1121.71</v>
      </c>
      <c r="M57" s="85">
        <v>1063.19</v>
      </c>
      <c r="N57" s="85">
        <v>1145.76</v>
      </c>
      <c r="O57" s="85">
        <v>1016.27</v>
      </c>
      <c r="P57" t="s">
        <v>288</v>
      </c>
      <c r="Q57" s="41">
        <v>7.1099999999999997E-2</v>
      </c>
      <c r="S57" s="86">
        <v>45328</v>
      </c>
      <c r="T57" s="85">
        <v>23290.15</v>
      </c>
      <c r="U57" s="85">
        <v>23337.9</v>
      </c>
      <c r="V57" s="85">
        <v>23338.7</v>
      </c>
      <c r="W57" s="85">
        <v>21281.45</v>
      </c>
      <c r="X57" t="s">
        <v>406</v>
      </c>
      <c r="Y57" s="41">
        <v>3.3700000000000001E-2</v>
      </c>
    </row>
    <row r="58" spans="11:25" x14ac:dyDescent="0.3">
      <c r="K58" t="s">
        <v>289</v>
      </c>
      <c r="L58" s="85">
        <v>1047.23</v>
      </c>
      <c r="M58" s="85">
        <v>1085.51</v>
      </c>
      <c r="N58" s="85">
        <v>1096.3699999999999</v>
      </c>
      <c r="O58" s="85">
        <v>1035.43</v>
      </c>
      <c r="P58" t="s">
        <v>290</v>
      </c>
      <c r="Q58" s="41">
        <v>-3.4599999999999999E-2</v>
      </c>
      <c r="S58" t="s">
        <v>289</v>
      </c>
      <c r="T58" s="85">
        <v>22530.7</v>
      </c>
      <c r="U58" s="85">
        <v>23038.95</v>
      </c>
      <c r="V58" s="85">
        <v>23110.799999999999</v>
      </c>
      <c r="W58" s="85">
        <v>22417</v>
      </c>
      <c r="X58" t="s">
        <v>407</v>
      </c>
      <c r="Y58" s="41">
        <v>-1.8599999999999998E-2</v>
      </c>
    </row>
    <row r="59" spans="11:25" x14ac:dyDescent="0.3">
      <c r="K59" t="s">
        <v>291</v>
      </c>
      <c r="L59" s="85">
        <v>1084.77</v>
      </c>
      <c r="M59" s="85">
        <v>1081.56</v>
      </c>
      <c r="N59" s="85">
        <v>1117.31</v>
      </c>
      <c r="O59" s="85">
        <v>1075.58</v>
      </c>
      <c r="P59" t="s">
        <v>292</v>
      </c>
      <c r="Q59" s="41">
        <v>2.8E-3</v>
      </c>
      <c r="S59" t="s">
        <v>291</v>
      </c>
      <c r="T59" s="85">
        <v>22957.1</v>
      </c>
      <c r="U59" s="85">
        <v>22512.85</v>
      </c>
      <c r="V59" s="85">
        <v>23026.400000000001</v>
      </c>
      <c r="W59" s="85">
        <v>22404.55</v>
      </c>
      <c r="X59" t="s">
        <v>408</v>
      </c>
      <c r="Y59" s="41">
        <v>2.1899999999999999E-2</v>
      </c>
    </row>
    <row r="60" spans="11:25" x14ac:dyDescent="0.3">
      <c r="K60" s="86">
        <v>45631</v>
      </c>
      <c r="L60" s="85">
        <v>1081.75</v>
      </c>
      <c r="M60" s="85">
        <v>1072.77</v>
      </c>
      <c r="N60" s="85">
        <v>1089.01</v>
      </c>
      <c r="O60" s="85">
        <v>1043.04</v>
      </c>
      <c r="P60" t="s">
        <v>293</v>
      </c>
      <c r="Q60" s="41">
        <v>3.8999999999999998E-3</v>
      </c>
      <c r="S60" s="86">
        <v>45631</v>
      </c>
      <c r="T60" s="85">
        <v>22466.1</v>
      </c>
      <c r="U60" s="85">
        <v>22027.95</v>
      </c>
      <c r="V60" s="85">
        <v>22502.15</v>
      </c>
      <c r="W60" s="85">
        <v>21821.05</v>
      </c>
      <c r="X60" t="s">
        <v>391</v>
      </c>
      <c r="Y60" s="41">
        <v>1.8599999999999998E-2</v>
      </c>
    </row>
    <row r="61" spans="11:25" x14ac:dyDescent="0.3">
      <c r="K61" s="86">
        <v>45417</v>
      </c>
      <c r="L61" s="85">
        <v>1077.56</v>
      </c>
      <c r="M61" s="85">
        <v>1091.43</v>
      </c>
      <c r="N61" s="85">
        <v>1107.78</v>
      </c>
      <c r="O61" s="85">
        <v>1054.54</v>
      </c>
      <c r="P61" t="s">
        <v>294</v>
      </c>
      <c r="Q61" s="41">
        <v>-3.0999999999999999E-3</v>
      </c>
      <c r="S61" s="86">
        <v>45417</v>
      </c>
      <c r="T61" s="85">
        <v>22055.200000000001</v>
      </c>
      <c r="U61" s="85">
        <v>22561.599999999999</v>
      </c>
      <c r="V61" s="85">
        <v>22588.799999999999</v>
      </c>
      <c r="W61" s="85">
        <v>21932.400000000001</v>
      </c>
      <c r="X61" t="s">
        <v>405</v>
      </c>
      <c r="Y61" s="41">
        <v>-1.8700000000000001E-2</v>
      </c>
    </row>
    <row r="62" spans="11:25" x14ac:dyDescent="0.3">
      <c r="K62" t="s">
        <v>295</v>
      </c>
      <c r="L62" s="85">
        <v>1080.8599999999999</v>
      </c>
      <c r="M62" s="85">
        <v>1095.29</v>
      </c>
      <c r="N62" s="85">
        <v>1101.21</v>
      </c>
      <c r="O62" s="85">
        <v>1067.83</v>
      </c>
      <c r="P62" t="s">
        <v>296</v>
      </c>
      <c r="Q62" s="41">
        <v>-7.6E-3</v>
      </c>
      <c r="S62" t="s">
        <v>295</v>
      </c>
      <c r="T62" s="85">
        <v>22475.85</v>
      </c>
      <c r="U62" s="85">
        <v>22475.55</v>
      </c>
      <c r="V62" s="85">
        <v>22794.7</v>
      </c>
      <c r="W62" s="85">
        <v>22348.05</v>
      </c>
      <c r="X62" t="s">
        <v>409</v>
      </c>
      <c r="Y62" s="41">
        <v>2.5000000000000001E-3</v>
      </c>
    </row>
    <row r="63" spans="11:25" x14ac:dyDescent="0.3">
      <c r="K63" t="s">
        <v>297</v>
      </c>
      <c r="L63" s="85">
        <v>1089.1099999999999</v>
      </c>
      <c r="M63" s="85">
        <v>1126.94</v>
      </c>
      <c r="N63" s="85">
        <v>1165.4100000000001</v>
      </c>
      <c r="O63" s="85">
        <v>1064.17</v>
      </c>
      <c r="P63" t="s">
        <v>298</v>
      </c>
      <c r="Q63" s="41">
        <v>-3.1099999999999999E-2</v>
      </c>
      <c r="S63" t="s">
        <v>297</v>
      </c>
      <c r="T63" s="85">
        <v>22419.95</v>
      </c>
      <c r="U63" s="85">
        <v>22336.9</v>
      </c>
      <c r="V63" s="85">
        <v>22625.95</v>
      </c>
      <c r="W63" s="85">
        <v>22198.15</v>
      </c>
      <c r="X63" t="s">
        <v>393</v>
      </c>
      <c r="Y63" s="41">
        <v>1.23E-2</v>
      </c>
    </row>
    <row r="64" spans="11:25" x14ac:dyDescent="0.3">
      <c r="K64" t="s">
        <v>299</v>
      </c>
      <c r="L64" s="85">
        <v>1124.1300000000001</v>
      </c>
      <c r="M64" s="85">
        <v>1111.19</v>
      </c>
      <c r="N64" s="85">
        <v>1144.77</v>
      </c>
      <c r="O64" s="85">
        <v>1090.5</v>
      </c>
      <c r="P64" t="s">
        <v>300</v>
      </c>
      <c r="Q64" s="41">
        <v>-9.9000000000000008E-3</v>
      </c>
      <c r="S64" t="s">
        <v>299</v>
      </c>
      <c r="T64" s="85">
        <v>22147</v>
      </c>
      <c r="U64" s="85">
        <v>22339.05</v>
      </c>
      <c r="V64" s="85">
        <v>22427.45</v>
      </c>
      <c r="W64" s="85">
        <v>21777.65</v>
      </c>
      <c r="X64" t="s">
        <v>405</v>
      </c>
      <c r="Y64" s="41">
        <v>-1.6500000000000001E-2</v>
      </c>
    </row>
    <row r="65" spans="11:25" x14ac:dyDescent="0.3">
      <c r="K65" s="86">
        <v>45477</v>
      </c>
      <c r="L65" s="85">
        <v>1135.3399999999999</v>
      </c>
      <c r="M65" s="85">
        <v>1106.25</v>
      </c>
      <c r="N65" s="85">
        <v>1142.45</v>
      </c>
      <c r="O65" s="85">
        <v>1103.29</v>
      </c>
      <c r="P65" t="s">
        <v>301</v>
      </c>
      <c r="Q65" s="41">
        <v>3.04E-2</v>
      </c>
      <c r="S65" s="86">
        <v>45477</v>
      </c>
      <c r="T65" s="85">
        <v>22519.4</v>
      </c>
      <c r="U65" s="85">
        <v>22578.35</v>
      </c>
      <c r="V65" s="85">
        <v>22775.7</v>
      </c>
      <c r="W65" s="85">
        <v>22503.75</v>
      </c>
      <c r="X65" t="s">
        <v>392</v>
      </c>
      <c r="Y65" s="41">
        <v>2.9999999999999997E-4</v>
      </c>
    </row>
    <row r="66" spans="11:25" x14ac:dyDescent="0.3">
      <c r="K66" t="s">
        <v>302</v>
      </c>
      <c r="L66" s="85">
        <v>1101.8499999999999</v>
      </c>
      <c r="M66" s="85">
        <v>1086.49</v>
      </c>
      <c r="N66" s="85">
        <v>1119.48</v>
      </c>
      <c r="O66" s="85">
        <v>1069.8</v>
      </c>
      <c r="P66" t="s">
        <v>303</v>
      </c>
      <c r="Q66" s="41">
        <v>1.77E-2</v>
      </c>
      <c r="S66" t="s">
        <v>302</v>
      </c>
      <c r="T66" s="85">
        <v>22513.7</v>
      </c>
      <c r="U66" s="85">
        <v>22455</v>
      </c>
      <c r="V66" s="85">
        <v>22619</v>
      </c>
      <c r="W66" s="85">
        <v>22303.8</v>
      </c>
      <c r="X66" t="s">
        <v>405</v>
      </c>
      <c r="Y66" s="41">
        <v>8.3999999999999995E-3</v>
      </c>
    </row>
    <row r="67" spans="11:25" x14ac:dyDescent="0.3">
      <c r="K67" t="s">
        <v>304</v>
      </c>
      <c r="L67" s="85">
        <v>1082.74</v>
      </c>
      <c r="M67" s="85">
        <v>1091.78</v>
      </c>
      <c r="N67" s="85">
        <v>1107.3399999999999</v>
      </c>
      <c r="O67" s="85">
        <v>1070.79</v>
      </c>
      <c r="P67" t="s">
        <v>305</v>
      </c>
      <c r="Q67" s="41">
        <v>-2.3599999999999999E-2</v>
      </c>
      <c r="S67" t="s">
        <v>304</v>
      </c>
      <c r="T67" s="85">
        <v>22326.9</v>
      </c>
      <c r="U67" s="85">
        <v>21947.9</v>
      </c>
      <c r="V67" s="85">
        <v>22516</v>
      </c>
      <c r="W67" s="85">
        <v>21947.55</v>
      </c>
      <c r="X67" t="s">
        <v>410</v>
      </c>
      <c r="Y67" s="41">
        <v>1.04E-2</v>
      </c>
    </row>
    <row r="68" spans="11:25" x14ac:dyDescent="0.3">
      <c r="K68" t="s">
        <v>306</v>
      </c>
      <c r="L68" s="85">
        <v>1108.97</v>
      </c>
      <c r="M68" s="85">
        <v>1198.1600000000001</v>
      </c>
      <c r="N68" s="85">
        <v>1202.7</v>
      </c>
      <c r="O68" s="85">
        <v>1098.05</v>
      </c>
      <c r="P68" t="s">
        <v>307</v>
      </c>
      <c r="Q68" s="41">
        <v>-7.3800000000000004E-2</v>
      </c>
      <c r="S68" t="s">
        <v>306</v>
      </c>
      <c r="T68" s="85">
        <v>22096.75</v>
      </c>
      <c r="U68" s="85">
        <v>21990.1</v>
      </c>
      <c r="V68" s="85">
        <v>22180.7</v>
      </c>
      <c r="W68" s="85">
        <v>21710.2</v>
      </c>
      <c r="X68" t="s">
        <v>411</v>
      </c>
      <c r="Y68" s="41">
        <v>3.3E-3</v>
      </c>
    </row>
    <row r="69" spans="11:25" x14ac:dyDescent="0.3">
      <c r="K69" s="86">
        <v>45568</v>
      </c>
      <c r="L69" s="85">
        <v>1197.27</v>
      </c>
      <c r="M69" s="85">
        <v>1247.49</v>
      </c>
      <c r="N69" s="85">
        <v>1253.42</v>
      </c>
      <c r="O69" s="85">
        <v>1145.81</v>
      </c>
      <c r="P69" t="s">
        <v>308</v>
      </c>
      <c r="Q69" s="41">
        <v>-3.9199999999999999E-2</v>
      </c>
      <c r="S69" s="86">
        <v>45568</v>
      </c>
      <c r="T69" s="85">
        <v>22023.35</v>
      </c>
      <c r="U69" s="85">
        <v>22517.5</v>
      </c>
      <c r="V69" s="85">
        <v>22526.6</v>
      </c>
      <c r="W69" s="85">
        <v>21905.65</v>
      </c>
      <c r="X69" t="s">
        <v>412</v>
      </c>
      <c r="Y69" s="41">
        <v>-2.0899999999999998E-2</v>
      </c>
    </row>
    <row r="70" spans="11:25" x14ac:dyDescent="0.3">
      <c r="K70" s="86">
        <v>45354</v>
      </c>
      <c r="L70" s="85">
        <v>1246.06</v>
      </c>
      <c r="M70" s="85">
        <v>1194.1600000000001</v>
      </c>
      <c r="N70" s="85">
        <v>1253.32</v>
      </c>
      <c r="O70" s="85">
        <v>1175.3900000000001</v>
      </c>
      <c r="P70" t="s">
        <v>309</v>
      </c>
      <c r="Q70" s="41">
        <v>5.04E-2</v>
      </c>
      <c r="S70" s="86">
        <v>45354</v>
      </c>
      <c r="T70" s="85">
        <v>22493.55</v>
      </c>
      <c r="U70" s="85">
        <v>22406.95</v>
      </c>
      <c r="V70" s="85">
        <v>22525.65</v>
      </c>
      <c r="W70" s="85">
        <v>22224.35</v>
      </c>
      <c r="X70" t="s">
        <v>413</v>
      </c>
      <c r="Y70" s="41">
        <v>6.8999999999999999E-3</v>
      </c>
    </row>
    <row r="71" spans="11:25" x14ac:dyDescent="0.3">
      <c r="K71" t="s">
        <v>310</v>
      </c>
      <c r="L71" s="85">
        <v>1186.26</v>
      </c>
      <c r="M71" s="85">
        <v>1144.77</v>
      </c>
      <c r="N71" s="85">
        <v>1198.75</v>
      </c>
      <c r="O71" s="85">
        <v>1135.3399999999999</v>
      </c>
      <c r="P71" t="s">
        <v>311</v>
      </c>
      <c r="Q71" s="41">
        <v>3.5099999999999999E-2</v>
      </c>
      <c r="S71" t="s">
        <v>310</v>
      </c>
      <c r="T71" s="85">
        <v>22338.75</v>
      </c>
      <c r="U71" s="85">
        <v>22169.200000000001</v>
      </c>
      <c r="V71" s="85">
        <v>22353.3</v>
      </c>
      <c r="W71" s="85">
        <v>21860.65</v>
      </c>
      <c r="X71" t="s">
        <v>414</v>
      </c>
      <c r="Y71" s="41">
        <v>5.7000000000000002E-3</v>
      </c>
    </row>
    <row r="72" spans="11:25" x14ac:dyDescent="0.3">
      <c r="K72" t="s">
        <v>312</v>
      </c>
      <c r="L72" s="85">
        <v>1146.06</v>
      </c>
      <c r="M72" s="85">
        <v>1135.8800000000001</v>
      </c>
      <c r="N72" s="85">
        <v>1157.51</v>
      </c>
      <c r="O72" s="85">
        <v>1124.82</v>
      </c>
      <c r="P72" t="s">
        <v>313</v>
      </c>
      <c r="Q72" s="41">
        <v>1.12E-2</v>
      </c>
      <c r="S72" t="s">
        <v>312</v>
      </c>
      <c r="T72" s="85">
        <v>22212.7</v>
      </c>
      <c r="U72" s="85">
        <v>22103.45</v>
      </c>
      <c r="V72" s="85">
        <v>22297.5</v>
      </c>
      <c r="W72" s="85">
        <v>21875.25</v>
      </c>
      <c r="X72" t="s">
        <v>395</v>
      </c>
      <c r="Y72" s="41">
        <v>7.7999999999999996E-3</v>
      </c>
    </row>
    <row r="73" spans="11:25" x14ac:dyDescent="0.3">
      <c r="K73" s="86">
        <v>45598</v>
      </c>
      <c r="L73" s="85">
        <v>1133.3599999999999</v>
      </c>
      <c r="M73" s="85">
        <v>1116.18</v>
      </c>
      <c r="N73" s="85">
        <v>1135.29</v>
      </c>
      <c r="O73" s="85">
        <v>1061.8</v>
      </c>
      <c r="P73" t="s">
        <v>314</v>
      </c>
      <c r="Q73" s="41">
        <v>1.61E-2</v>
      </c>
      <c r="S73" s="86">
        <v>45598</v>
      </c>
      <c r="T73" s="85">
        <v>22040.7</v>
      </c>
      <c r="U73" s="85">
        <v>21800.799999999999</v>
      </c>
      <c r="V73" s="85">
        <v>22068.65</v>
      </c>
      <c r="W73" s="85">
        <v>21530.2</v>
      </c>
      <c r="X73" t="s">
        <v>378</v>
      </c>
      <c r="Y73" s="41">
        <v>1.1900000000000001E-2</v>
      </c>
    </row>
    <row r="74" spans="11:25" x14ac:dyDescent="0.3">
      <c r="K74" s="86">
        <v>45384</v>
      </c>
      <c r="L74" s="85">
        <v>1115.3900000000001</v>
      </c>
      <c r="M74" s="85">
        <v>1155.54</v>
      </c>
      <c r="N74" s="85">
        <v>1162.55</v>
      </c>
      <c r="O74" s="85">
        <v>1106.0999999999999</v>
      </c>
      <c r="P74" t="s">
        <v>315</v>
      </c>
      <c r="Q74" s="41">
        <v>-2.8799999999999999E-2</v>
      </c>
      <c r="S74" s="86">
        <v>45384</v>
      </c>
      <c r="T74" s="85">
        <v>21782.5</v>
      </c>
      <c r="U74" s="85">
        <v>21921.05</v>
      </c>
      <c r="V74" s="85">
        <v>22053.3</v>
      </c>
      <c r="W74" s="85">
        <v>21629.9</v>
      </c>
      <c r="X74" t="s">
        <v>415</v>
      </c>
      <c r="Y74" s="41">
        <v>-3.3E-3</v>
      </c>
    </row>
    <row r="75" spans="11:25" x14ac:dyDescent="0.3">
      <c r="K75" t="s">
        <v>316</v>
      </c>
      <c r="L75" s="85">
        <v>1148.47</v>
      </c>
      <c r="M75" s="85">
        <v>1122.79</v>
      </c>
      <c r="N75" s="85">
        <v>1156.33</v>
      </c>
      <c r="O75" s="85">
        <v>1094.4000000000001</v>
      </c>
      <c r="P75" t="s">
        <v>317</v>
      </c>
      <c r="Q75" s="41">
        <v>2.29E-2</v>
      </c>
      <c r="S75" t="s">
        <v>316</v>
      </c>
      <c r="T75" s="85">
        <v>21853.8</v>
      </c>
      <c r="U75" s="85">
        <v>21433.1</v>
      </c>
      <c r="V75" s="85">
        <v>22126.799999999999</v>
      </c>
      <c r="W75" s="85">
        <v>21429.599999999999</v>
      </c>
      <c r="X75" t="s">
        <v>416</v>
      </c>
      <c r="Y75" s="41">
        <v>2.35E-2</v>
      </c>
    </row>
    <row r="76" spans="11:25" x14ac:dyDescent="0.3">
      <c r="K76" t="s">
        <v>318</v>
      </c>
      <c r="L76" s="85">
        <v>1122.79</v>
      </c>
      <c r="M76" s="85">
        <v>1153.6600000000001</v>
      </c>
      <c r="N76" s="85">
        <v>1154.6500000000001</v>
      </c>
      <c r="O76" s="85">
        <v>1118.45</v>
      </c>
      <c r="P76" t="s">
        <v>319</v>
      </c>
      <c r="Q76" s="41">
        <v>-2.1499999999999998E-2</v>
      </c>
      <c r="S76" t="s">
        <v>318</v>
      </c>
      <c r="T76" s="85">
        <v>21352.6</v>
      </c>
      <c r="U76" s="85">
        <v>21706.15</v>
      </c>
      <c r="V76" s="85">
        <v>21750.25</v>
      </c>
      <c r="W76" s="85">
        <v>21137.200000000001</v>
      </c>
      <c r="X76" t="s">
        <v>403</v>
      </c>
      <c r="Y76" s="41">
        <v>-1.2500000000000001E-2</v>
      </c>
    </row>
    <row r="77" spans="11:25" x14ac:dyDescent="0.3">
      <c r="K77" t="s">
        <v>320</v>
      </c>
      <c r="L77" s="85">
        <v>1147.44</v>
      </c>
      <c r="M77" s="85">
        <v>1175.3900000000001</v>
      </c>
      <c r="N77" s="85">
        <v>1176.33</v>
      </c>
      <c r="O77" s="85">
        <v>1108.72</v>
      </c>
      <c r="P77" t="s">
        <v>321</v>
      </c>
      <c r="Q77" s="41">
        <v>2.3E-3</v>
      </c>
      <c r="S77" t="s">
        <v>320</v>
      </c>
      <c r="T77" s="85">
        <v>21622.400000000001</v>
      </c>
      <c r="U77" s="85">
        <v>22053.15</v>
      </c>
      <c r="V77" s="85">
        <v>22124.15</v>
      </c>
      <c r="W77" s="85">
        <v>21285.55</v>
      </c>
      <c r="X77" t="s">
        <v>417</v>
      </c>
      <c r="Y77" s="41">
        <v>-1.24E-2</v>
      </c>
    </row>
    <row r="78" spans="11:25" x14ac:dyDescent="0.3">
      <c r="K78" s="86">
        <v>45474</v>
      </c>
      <c r="L78" s="85">
        <v>1144.77</v>
      </c>
      <c r="M78" s="85">
        <v>1111.24</v>
      </c>
      <c r="N78" s="85">
        <v>1151.24</v>
      </c>
      <c r="O78" s="85">
        <v>1081.21</v>
      </c>
      <c r="P78" t="s">
        <v>322</v>
      </c>
      <c r="Q78" s="41">
        <v>3.2099999999999997E-2</v>
      </c>
      <c r="S78" s="86">
        <v>45474</v>
      </c>
      <c r="T78" s="85">
        <v>21894.55</v>
      </c>
      <c r="U78" s="85">
        <v>21747.599999999999</v>
      </c>
      <c r="V78" s="85">
        <v>21928.25</v>
      </c>
      <c r="W78" s="85">
        <v>21448.65</v>
      </c>
      <c r="X78" t="s">
        <v>418</v>
      </c>
      <c r="Y78" s="41">
        <v>8.5000000000000006E-3</v>
      </c>
    </row>
    <row r="79" spans="11:25" x14ac:dyDescent="0.3">
      <c r="K79" t="s">
        <v>323</v>
      </c>
      <c r="L79" s="85">
        <v>1109.1600000000001</v>
      </c>
      <c r="M79" s="85">
        <v>1080.42</v>
      </c>
      <c r="N79" s="85">
        <v>1117.26</v>
      </c>
      <c r="O79" s="85">
        <v>1062.79</v>
      </c>
      <c r="P79" t="s">
        <v>324</v>
      </c>
      <c r="Q79" s="41">
        <v>3.3300000000000003E-2</v>
      </c>
      <c r="S79" t="s">
        <v>323</v>
      </c>
      <c r="T79" s="85">
        <v>21710.799999999999</v>
      </c>
      <c r="U79" s="85">
        <v>21727.75</v>
      </c>
      <c r="V79" s="85">
        <v>21834.35</v>
      </c>
      <c r="W79" s="85">
        <v>21500.35</v>
      </c>
      <c r="X79" t="s">
        <v>419</v>
      </c>
      <c r="Y79" s="41">
        <v>-8.9999999999999998E-4</v>
      </c>
    </row>
    <row r="80" spans="11:25" x14ac:dyDescent="0.3">
      <c r="K80" t="s">
        <v>325</v>
      </c>
      <c r="L80" s="85">
        <v>1073.46</v>
      </c>
      <c r="M80">
        <v>980.81</v>
      </c>
      <c r="N80" s="85">
        <v>1080.57</v>
      </c>
      <c r="O80">
        <v>980.61</v>
      </c>
      <c r="P80" t="s">
        <v>326</v>
      </c>
      <c r="Q80" s="41">
        <v>9.4700000000000006E-2</v>
      </c>
      <c r="S80" t="s">
        <v>325</v>
      </c>
      <c r="T80" s="85">
        <v>21731.4</v>
      </c>
      <c r="U80" s="85">
        <v>21365.200000000001</v>
      </c>
      <c r="V80" s="85">
        <v>21801.45</v>
      </c>
      <c r="W80" s="85">
        <v>21329.45</v>
      </c>
      <c r="X80" t="s">
        <v>420</v>
      </c>
      <c r="Y80" s="41">
        <v>1.7899999999999999E-2</v>
      </c>
    </row>
    <row r="81" spans="11:25" x14ac:dyDescent="0.3">
      <c r="K81" t="s">
        <v>327</v>
      </c>
      <c r="L81">
        <v>980.61</v>
      </c>
      <c r="M81">
        <v>944.26</v>
      </c>
      <c r="N81">
        <v>997.6</v>
      </c>
      <c r="O81">
        <v>933.7</v>
      </c>
      <c r="P81" t="s">
        <v>328</v>
      </c>
      <c r="Q81" s="41">
        <v>3.9899999999999998E-2</v>
      </c>
      <c r="S81" t="s">
        <v>327</v>
      </c>
      <c r="T81" s="85">
        <v>21349.4</v>
      </c>
      <c r="U81" s="85">
        <v>21434.799999999999</v>
      </c>
      <c r="V81" s="85">
        <v>21593</v>
      </c>
      <c r="W81" s="85">
        <v>20976.799999999999</v>
      </c>
      <c r="X81" t="s">
        <v>385</v>
      </c>
      <c r="Y81" s="41">
        <v>-5.0000000000000001E-3</v>
      </c>
    </row>
    <row r="82" spans="11:25" x14ac:dyDescent="0.3">
      <c r="K82" s="86">
        <v>45211</v>
      </c>
      <c r="L82">
        <v>942.98</v>
      </c>
      <c r="M82">
        <v>938.24</v>
      </c>
      <c r="N82">
        <v>950.14</v>
      </c>
      <c r="O82">
        <v>932.02</v>
      </c>
      <c r="P82" t="s">
        <v>329</v>
      </c>
      <c r="Q82" s="41">
        <v>8.6E-3</v>
      </c>
      <c r="S82" s="86">
        <v>45211</v>
      </c>
      <c r="T82" s="85">
        <v>21456.65</v>
      </c>
      <c r="U82" s="85">
        <v>20965.3</v>
      </c>
      <c r="V82" s="85">
        <v>21492.3</v>
      </c>
      <c r="W82" s="85">
        <v>20769.5</v>
      </c>
      <c r="X82" t="s">
        <v>421</v>
      </c>
      <c r="Y82" s="41">
        <v>2.3199999999999998E-2</v>
      </c>
    </row>
    <row r="83" spans="11:25" x14ac:dyDescent="0.3">
      <c r="K83" s="86">
        <v>44997</v>
      </c>
      <c r="L83">
        <v>934.98</v>
      </c>
      <c r="M83">
        <v>942.29</v>
      </c>
      <c r="N83">
        <v>951.18</v>
      </c>
      <c r="O83">
        <v>930.39</v>
      </c>
      <c r="P83" t="s">
        <v>330</v>
      </c>
      <c r="Q83" s="41">
        <v>4.0000000000000001E-3</v>
      </c>
      <c r="S83" s="86">
        <v>44997</v>
      </c>
      <c r="T83" s="85">
        <v>20969.400000000001</v>
      </c>
      <c r="U83" s="85">
        <v>20601.95</v>
      </c>
      <c r="V83" s="85">
        <v>21006.1</v>
      </c>
      <c r="W83" s="85">
        <v>20507.75</v>
      </c>
      <c r="X83" t="s">
        <v>377</v>
      </c>
      <c r="Y83" s="41">
        <v>3.4599999999999999E-2</v>
      </c>
    </row>
    <row r="84" spans="11:25" x14ac:dyDescent="0.3">
      <c r="K84" t="s">
        <v>331</v>
      </c>
      <c r="L84">
        <v>931.28</v>
      </c>
      <c r="M84">
        <v>913.64</v>
      </c>
      <c r="N84">
        <v>941.2</v>
      </c>
      <c r="O84">
        <v>913.4</v>
      </c>
      <c r="P84" t="s">
        <v>332</v>
      </c>
      <c r="Q84" s="41">
        <v>1.72E-2</v>
      </c>
      <c r="S84" t="s">
        <v>331</v>
      </c>
      <c r="T84" s="85">
        <v>20267.900000000001</v>
      </c>
      <c r="U84" s="85">
        <v>19844.650000000001</v>
      </c>
      <c r="V84" s="85">
        <v>20291.55</v>
      </c>
      <c r="W84" s="85">
        <v>19800</v>
      </c>
      <c r="X84" t="s">
        <v>394</v>
      </c>
      <c r="Y84" s="41">
        <v>2.3900000000000001E-2</v>
      </c>
    </row>
    <row r="85" spans="11:25" x14ac:dyDescent="0.3">
      <c r="K85" t="s">
        <v>333</v>
      </c>
      <c r="L85">
        <v>915.52</v>
      </c>
      <c r="M85">
        <v>924.02</v>
      </c>
      <c r="N85">
        <v>929.3</v>
      </c>
      <c r="O85">
        <v>894.88</v>
      </c>
      <c r="P85" t="s">
        <v>334</v>
      </c>
      <c r="Q85" s="41">
        <v>-4.1999999999999997E-3</v>
      </c>
      <c r="S85" t="s">
        <v>333</v>
      </c>
      <c r="T85" s="85">
        <v>19794.7</v>
      </c>
      <c r="U85" s="85">
        <v>19731.150000000001</v>
      </c>
      <c r="V85" s="85">
        <v>19875.150000000001</v>
      </c>
      <c r="W85" s="85">
        <v>19670.5</v>
      </c>
      <c r="X85" t="s">
        <v>422</v>
      </c>
      <c r="Y85" s="41">
        <v>3.2000000000000002E-3</v>
      </c>
    </row>
    <row r="86" spans="11:25" x14ac:dyDescent="0.3">
      <c r="K86" s="86">
        <v>45271</v>
      </c>
      <c r="L86">
        <v>919.42</v>
      </c>
      <c r="M86">
        <v>910.68</v>
      </c>
      <c r="N86">
        <v>922.53</v>
      </c>
      <c r="O86">
        <v>895.96</v>
      </c>
      <c r="P86" t="s">
        <v>335</v>
      </c>
      <c r="Q86" s="41">
        <v>1.9900000000000001E-2</v>
      </c>
      <c r="S86" s="86">
        <v>45271</v>
      </c>
      <c r="T86" s="85">
        <v>19731.8</v>
      </c>
      <c r="U86" s="85">
        <v>19547.25</v>
      </c>
      <c r="V86" s="85">
        <v>19875.25</v>
      </c>
      <c r="W86" s="85">
        <v>19414.75</v>
      </c>
      <c r="X86" t="s">
        <v>423</v>
      </c>
      <c r="Y86" s="41">
        <v>1.5800000000000002E-2</v>
      </c>
    </row>
    <row r="87" spans="11:25" x14ac:dyDescent="0.3">
      <c r="K87" s="86">
        <v>45057</v>
      </c>
      <c r="L87">
        <v>901.49</v>
      </c>
      <c r="M87">
        <v>905.49</v>
      </c>
      <c r="N87">
        <v>918.04</v>
      </c>
      <c r="O87">
        <v>885.49</v>
      </c>
      <c r="P87" t="s">
        <v>336</v>
      </c>
      <c r="Q87" s="41">
        <v>-1.1000000000000001E-3</v>
      </c>
      <c r="S87" s="86">
        <v>45057</v>
      </c>
      <c r="T87" s="85">
        <v>19425.349999999999</v>
      </c>
      <c r="U87" s="85">
        <v>19345.849999999999</v>
      </c>
      <c r="V87" s="85">
        <v>19464.400000000001</v>
      </c>
      <c r="W87" s="85">
        <v>19309.7</v>
      </c>
      <c r="X87" t="s">
        <v>424</v>
      </c>
      <c r="Y87" s="41">
        <v>1.01E-2</v>
      </c>
    </row>
    <row r="88" spans="11:25" x14ac:dyDescent="0.3">
      <c r="K88" t="s">
        <v>337</v>
      </c>
      <c r="L88">
        <v>902.48</v>
      </c>
      <c r="M88">
        <v>875.12</v>
      </c>
      <c r="N88">
        <v>908.71</v>
      </c>
      <c r="O88">
        <v>869.39</v>
      </c>
      <c r="P88" t="s">
        <v>338</v>
      </c>
      <c r="Q88" s="41">
        <v>2.5399999999999999E-2</v>
      </c>
      <c r="S88" t="s">
        <v>337</v>
      </c>
      <c r="T88" s="85">
        <v>19230.599999999999</v>
      </c>
      <c r="U88" s="85">
        <v>19053.400000000001</v>
      </c>
      <c r="V88" s="85">
        <v>19276.25</v>
      </c>
      <c r="W88" s="85">
        <v>18940</v>
      </c>
      <c r="X88" t="s">
        <v>425</v>
      </c>
      <c r="Y88" s="41">
        <v>9.5999999999999992E-3</v>
      </c>
    </row>
    <row r="89" spans="11:25" x14ac:dyDescent="0.3">
      <c r="K89" t="s">
        <v>339</v>
      </c>
      <c r="L89">
        <v>880.16</v>
      </c>
      <c r="M89">
        <v>887.72</v>
      </c>
      <c r="N89">
        <v>894.93</v>
      </c>
      <c r="O89">
        <v>861.29</v>
      </c>
      <c r="P89" t="s">
        <v>340</v>
      </c>
      <c r="Q89" s="41">
        <v>-8.6999999999999994E-3</v>
      </c>
      <c r="S89" t="s">
        <v>339</v>
      </c>
      <c r="T89" s="85">
        <v>19047.25</v>
      </c>
      <c r="U89" s="85">
        <v>19521.599999999999</v>
      </c>
      <c r="V89" s="85">
        <v>19556.849999999999</v>
      </c>
      <c r="W89" s="85">
        <v>18837.849999999999</v>
      </c>
      <c r="X89" t="s">
        <v>426</v>
      </c>
      <c r="Y89" s="41">
        <v>-2.53E-2</v>
      </c>
    </row>
    <row r="90" spans="11:25" x14ac:dyDescent="0.3">
      <c r="K90" t="s">
        <v>341</v>
      </c>
      <c r="L90">
        <v>887.91</v>
      </c>
      <c r="M90">
        <v>906.53</v>
      </c>
      <c r="N90">
        <v>916.61</v>
      </c>
      <c r="O90">
        <v>868.26</v>
      </c>
      <c r="P90" t="s">
        <v>342</v>
      </c>
      <c r="Q90" s="41">
        <v>-1.5800000000000002E-2</v>
      </c>
      <c r="S90" t="s">
        <v>341</v>
      </c>
      <c r="T90" s="85">
        <v>19542.650000000001</v>
      </c>
      <c r="U90" s="85">
        <v>19737.25</v>
      </c>
      <c r="V90" s="85">
        <v>19849.75</v>
      </c>
      <c r="W90" s="85">
        <v>19512.349999999999</v>
      </c>
      <c r="X90" t="s">
        <v>427</v>
      </c>
      <c r="Y90" s="41">
        <v>-1.06E-2</v>
      </c>
    </row>
    <row r="91" spans="11:25" x14ac:dyDescent="0.3">
      <c r="K91" s="86">
        <v>45148</v>
      </c>
      <c r="L91">
        <v>902.14</v>
      </c>
      <c r="M91">
        <v>857.34</v>
      </c>
      <c r="N91">
        <v>906.73</v>
      </c>
      <c r="O91">
        <v>856.16</v>
      </c>
      <c r="P91" t="s">
        <v>343</v>
      </c>
      <c r="Q91" s="41">
        <v>4.41E-2</v>
      </c>
      <c r="S91" s="86">
        <v>45148</v>
      </c>
      <c r="T91" s="85">
        <v>19751.05</v>
      </c>
      <c r="U91" s="85">
        <v>19539.45</v>
      </c>
      <c r="V91" s="85">
        <v>19843.3</v>
      </c>
      <c r="W91" s="85">
        <v>19480.5</v>
      </c>
      <c r="X91" t="s">
        <v>428</v>
      </c>
      <c r="Y91" s="41">
        <v>5.0000000000000001E-3</v>
      </c>
    </row>
    <row r="92" spans="11:25" x14ac:dyDescent="0.3">
      <c r="K92" s="86">
        <v>44936</v>
      </c>
      <c r="L92">
        <v>864.01</v>
      </c>
      <c r="M92">
        <v>859.32</v>
      </c>
      <c r="N92">
        <v>868.75</v>
      </c>
      <c r="O92">
        <v>844.5</v>
      </c>
      <c r="P92" t="s">
        <v>242</v>
      </c>
      <c r="Q92" s="41">
        <v>-2.5000000000000001E-3</v>
      </c>
      <c r="S92" s="86">
        <v>44936</v>
      </c>
      <c r="T92" s="85">
        <v>19653.5</v>
      </c>
      <c r="U92" s="85">
        <v>19622.400000000001</v>
      </c>
      <c r="V92" s="85">
        <v>19675.75</v>
      </c>
      <c r="W92" s="85">
        <v>19333.599999999999</v>
      </c>
      <c r="X92" t="s">
        <v>429</v>
      </c>
      <c r="Y92" s="41">
        <v>8.0000000000000004E-4</v>
      </c>
    </row>
    <row r="93" spans="11:25" x14ac:dyDescent="0.3">
      <c r="K93" t="s">
        <v>344</v>
      </c>
      <c r="L93">
        <v>866.13</v>
      </c>
      <c r="M93">
        <v>871.12</v>
      </c>
      <c r="N93">
        <v>898.73</v>
      </c>
      <c r="O93">
        <v>859.42</v>
      </c>
      <c r="P93" t="s">
        <v>307</v>
      </c>
      <c r="Q93" s="41">
        <v>-1E-3</v>
      </c>
      <c r="S93" t="s">
        <v>344</v>
      </c>
      <c r="T93" s="85">
        <v>19638.3</v>
      </c>
      <c r="U93" s="85">
        <v>19678.2</v>
      </c>
      <c r="V93" s="85">
        <v>19766.650000000001</v>
      </c>
      <c r="W93" s="85">
        <v>19492.099999999999</v>
      </c>
      <c r="X93" t="s">
        <v>430</v>
      </c>
      <c r="Y93" s="41">
        <v>-1.8E-3</v>
      </c>
    </row>
    <row r="94" spans="11:25" x14ac:dyDescent="0.3">
      <c r="K94" t="s">
        <v>345</v>
      </c>
      <c r="L94">
        <v>866.97</v>
      </c>
      <c r="M94">
        <v>872.16</v>
      </c>
      <c r="N94">
        <v>878.92</v>
      </c>
      <c r="O94">
        <v>850.63</v>
      </c>
      <c r="P94" t="s">
        <v>346</v>
      </c>
      <c r="Q94" s="41">
        <v>2.0999999999999999E-3</v>
      </c>
      <c r="S94" t="s">
        <v>345</v>
      </c>
      <c r="T94" s="85">
        <v>19674.25</v>
      </c>
      <c r="U94" s="85">
        <v>20155.95</v>
      </c>
      <c r="V94" s="85">
        <v>20195.349999999999</v>
      </c>
      <c r="W94" s="85">
        <v>19657.5</v>
      </c>
      <c r="X94" t="s">
        <v>431</v>
      </c>
      <c r="Y94" s="41">
        <v>-2.5700000000000001E-2</v>
      </c>
    </row>
    <row r="95" spans="11:25" x14ac:dyDescent="0.3">
      <c r="K95" s="86">
        <v>45208</v>
      </c>
      <c r="L95">
        <v>865.15</v>
      </c>
      <c r="M95">
        <v>845</v>
      </c>
      <c r="N95">
        <v>886.68</v>
      </c>
      <c r="O95">
        <v>844.26</v>
      </c>
      <c r="P95" t="s">
        <v>347</v>
      </c>
      <c r="Q95" s="41">
        <v>2.6700000000000002E-2</v>
      </c>
      <c r="S95" s="86">
        <v>45208</v>
      </c>
      <c r="T95" s="85">
        <v>20192.349999999999</v>
      </c>
      <c r="U95" s="85">
        <v>19890</v>
      </c>
      <c r="V95" s="85">
        <v>20222.45</v>
      </c>
      <c r="W95" s="85">
        <v>19865.349999999999</v>
      </c>
      <c r="X95" t="s">
        <v>409</v>
      </c>
      <c r="Y95" s="41">
        <v>1.8800000000000001E-2</v>
      </c>
    </row>
    <row r="96" spans="11:25" x14ac:dyDescent="0.3">
      <c r="K96" s="86">
        <v>44994</v>
      </c>
      <c r="L96">
        <v>842.63</v>
      </c>
      <c r="M96">
        <v>833.64</v>
      </c>
      <c r="N96">
        <v>872.16</v>
      </c>
      <c r="O96">
        <v>826.72</v>
      </c>
      <c r="P96" t="s">
        <v>348</v>
      </c>
      <c r="Q96" s="41">
        <v>1.06E-2</v>
      </c>
      <c r="S96" s="86">
        <v>44994</v>
      </c>
      <c r="T96" s="85">
        <v>19819.95</v>
      </c>
      <c r="U96" s="85">
        <v>19525.05</v>
      </c>
      <c r="V96" s="85">
        <v>19867.150000000001</v>
      </c>
      <c r="W96" s="85">
        <v>19432.849999999999</v>
      </c>
      <c r="X96" t="s">
        <v>385</v>
      </c>
      <c r="Y96" s="41">
        <v>1.9800000000000002E-2</v>
      </c>
    </row>
    <row r="97" spans="11:25" x14ac:dyDescent="0.3">
      <c r="K97" t="s">
        <v>349</v>
      </c>
      <c r="L97">
        <v>833.79</v>
      </c>
      <c r="M97">
        <v>822.28</v>
      </c>
      <c r="N97">
        <v>841</v>
      </c>
      <c r="O97">
        <v>818.08</v>
      </c>
      <c r="P97" t="s">
        <v>350</v>
      </c>
      <c r="Q97" s="41">
        <v>1.3899999999999999E-2</v>
      </c>
      <c r="S97" t="s">
        <v>349</v>
      </c>
      <c r="T97" s="85">
        <v>19435.3</v>
      </c>
      <c r="U97" s="85">
        <v>19298.349999999999</v>
      </c>
      <c r="V97" s="85">
        <v>19458.55</v>
      </c>
      <c r="W97" s="85">
        <v>19223.650000000001</v>
      </c>
      <c r="X97" t="s">
        <v>370</v>
      </c>
      <c r="Y97" s="41">
        <v>8.8000000000000005E-3</v>
      </c>
    </row>
    <row r="98" spans="11:25" x14ac:dyDescent="0.3">
      <c r="K98" t="s">
        <v>351</v>
      </c>
      <c r="L98">
        <v>822.33</v>
      </c>
      <c r="M98">
        <v>835.61</v>
      </c>
      <c r="N98">
        <v>844.31</v>
      </c>
      <c r="O98">
        <v>819.96</v>
      </c>
      <c r="P98" t="s">
        <v>352</v>
      </c>
      <c r="Q98" s="41">
        <v>-1.1900000000000001E-2</v>
      </c>
      <c r="S98" t="s">
        <v>351</v>
      </c>
      <c r="T98" s="85">
        <v>19265.8</v>
      </c>
      <c r="U98" s="85">
        <v>19320.650000000001</v>
      </c>
      <c r="V98" s="85">
        <v>19584.45</v>
      </c>
      <c r="W98" s="85">
        <v>19229.7</v>
      </c>
      <c r="X98" t="s">
        <v>385</v>
      </c>
      <c r="Y98" s="41">
        <v>-2.3E-3</v>
      </c>
    </row>
    <row r="99" spans="11:25" x14ac:dyDescent="0.3">
      <c r="K99" t="s">
        <v>353</v>
      </c>
      <c r="L99">
        <v>832.21</v>
      </c>
      <c r="M99">
        <v>828.55</v>
      </c>
      <c r="N99">
        <v>838.53</v>
      </c>
      <c r="O99">
        <v>819.46</v>
      </c>
      <c r="P99" t="s">
        <v>354</v>
      </c>
      <c r="Q99" s="41">
        <v>6.7999999999999996E-3</v>
      </c>
      <c r="S99" t="s">
        <v>353</v>
      </c>
      <c r="T99" s="85">
        <v>19310.150000000001</v>
      </c>
      <c r="U99" s="85">
        <v>19383.95</v>
      </c>
      <c r="V99" s="85">
        <v>19482.75</v>
      </c>
      <c r="W99" s="85">
        <v>19253.599999999999</v>
      </c>
      <c r="X99" t="s">
        <v>432</v>
      </c>
      <c r="Y99" s="41">
        <v>-6.1000000000000004E-3</v>
      </c>
    </row>
    <row r="100" spans="11:25" x14ac:dyDescent="0.3">
      <c r="K100" s="86">
        <v>45085</v>
      </c>
      <c r="L100">
        <v>826.63</v>
      </c>
      <c r="M100">
        <v>826.67</v>
      </c>
      <c r="N100">
        <v>852.6</v>
      </c>
      <c r="O100">
        <v>819.32</v>
      </c>
      <c r="P100" t="s">
        <v>355</v>
      </c>
      <c r="Q100" s="41">
        <v>2.5000000000000001E-3</v>
      </c>
      <c r="S100" s="86">
        <v>45085</v>
      </c>
      <c r="T100" s="85">
        <v>19428.3</v>
      </c>
      <c r="U100" s="85">
        <v>19576.849999999999</v>
      </c>
      <c r="V100" s="85">
        <v>19645.5</v>
      </c>
      <c r="W100" s="85">
        <v>19412.75</v>
      </c>
      <c r="X100" t="s">
        <v>408</v>
      </c>
      <c r="Y100" s="41">
        <v>-4.4999999999999997E-3</v>
      </c>
    </row>
    <row r="101" spans="11:25" x14ac:dyDescent="0.3">
      <c r="K101" t="s">
        <v>356</v>
      </c>
      <c r="L101">
        <v>824.55</v>
      </c>
      <c r="M101">
        <v>848.8</v>
      </c>
      <c r="N101">
        <v>852.7</v>
      </c>
      <c r="O101">
        <v>822.08</v>
      </c>
      <c r="P101" t="s">
        <v>357</v>
      </c>
      <c r="Q101" s="41">
        <v>-2.86E-2</v>
      </c>
      <c r="S101" t="s">
        <v>356</v>
      </c>
      <c r="T101" s="85">
        <v>19517</v>
      </c>
      <c r="U101" s="85">
        <v>19666.349999999999</v>
      </c>
      <c r="V101" s="85">
        <v>19795.599999999999</v>
      </c>
      <c r="W101" s="85">
        <v>19296.45</v>
      </c>
      <c r="X101" t="s">
        <v>433</v>
      </c>
      <c r="Y101" s="41">
        <v>-6.6E-3</v>
      </c>
    </row>
    <row r="102" spans="11:25" x14ac:dyDescent="0.3">
      <c r="K102" t="s">
        <v>358</v>
      </c>
      <c r="L102">
        <v>848.8</v>
      </c>
      <c r="M102">
        <v>843.52</v>
      </c>
      <c r="N102">
        <v>873.1</v>
      </c>
      <c r="O102">
        <v>831.66</v>
      </c>
      <c r="P102" t="s">
        <v>359</v>
      </c>
      <c r="Q102" s="41">
        <v>8.2000000000000007E-3</v>
      </c>
      <c r="S102" t="s">
        <v>358</v>
      </c>
      <c r="T102" s="85">
        <v>19646.05</v>
      </c>
      <c r="U102" s="85">
        <v>19748.45</v>
      </c>
      <c r="V102" s="85">
        <v>19867.55</v>
      </c>
      <c r="W102" s="85">
        <v>19563.099999999999</v>
      </c>
      <c r="X102" t="s">
        <v>396</v>
      </c>
      <c r="Y102" s="41">
        <v>-5.0000000000000001E-3</v>
      </c>
    </row>
    <row r="103" spans="11:25" x14ac:dyDescent="0.3">
      <c r="K103" t="s">
        <v>360</v>
      </c>
      <c r="L103">
        <v>841.89</v>
      </c>
      <c r="M103">
        <v>844.6</v>
      </c>
      <c r="N103">
        <v>865.64</v>
      </c>
      <c r="O103">
        <v>838.03</v>
      </c>
      <c r="P103" t="s">
        <v>361</v>
      </c>
      <c r="Q103" s="41">
        <v>1E-3</v>
      </c>
      <c r="S103" t="s">
        <v>360</v>
      </c>
      <c r="T103" s="85">
        <v>19745</v>
      </c>
      <c r="U103" s="85">
        <v>19612.150000000001</v>
      </c>
      <c r="V103" s="85">
        <v>19991.849999999999</v>
      </c>
      <c r="W103" s="85">
        <v>19562.95</v>
      </c>
      <c r="X103" t="s">
        <v>388</v>
      </c>
      <c r="Y103" s="41">
        <v>9.1999999999999998E-3</v>
      </c>
    </row>
    <row r="104" spans="11:25" x14ac:dyDescent="0.3">
      <c r="K104" s="86">
        <v>45176</v>
      </c>
      <c r="L104">
        <v>841.05</v>
      </c>
      <c r="M104">
        <v>831.17</v>
      </c>
      <c r="N104">
        <v>842.28</v>
      </c>
      <c r="O104">
        <v>811.91</v>
      </c>
      <c r="P104" t="s">
        <v>362</v>
      </c>
      <c r="Q104" s="41">
        <v>2.1899999999999999E-2</v>
      </c>
      <c r="S104" s="86">
        <v>45176</v>
      </c>
      <c r="T104" s="85">
        <v>19564.5</v>
      </c>
      <c r="U104" s="85">
        <v>19400.349999999999</v>
      </c>
      <c r="V104" s="85">
        <v>19595.349999999999</v>
      </c>
      <c r="W104" s="85">
        <v>19327.099999999999</v>
      </c>
      <c r="X104" t="s">
        <v>398</v>
      </c>
      <c r="Y104" s="41">
        <v>1.2E-2</v>
      </c>
    </row>
    <row r="105" spans="11:25" x14ac:dyDescent="0.3">
      <c r="K105" s="86">
        <v>44964</v>
      </c>
      <c r="L105">
        <v>823.02</v>
      </c>
      <c r="M105">
        <v>856.31</v>
      </c>
      <c r="N105">
        <v>856.31</v>
      </c>
      <c r="O105">
        <v>821.59</v>
      </c>
      <c r="P105" t="s">
        <v>218</v>
      </c>
      <c r="Q105" s="41">
        <v>-3.2099999999999997E-2</v>
      </c>
      <c r="S105" s="86">
        <v>44964</v>
      </c>
      <c r="T105" s="85">
        <v>19331.8</v>
      </c>
      <c r="U105" s="85">
        <v>19246.5</v>
      </c>
      <c r="V105" s="85">
        <v>19523.599999999999</v>
      </c>
      <c r="W105" s="85">
        <v>19234.400000000001</v>
      </c>
      <c r="X105" t="s">
        <v>418</v>
      </c>
      <c r="Y105" s="41">
        <v>7.4000000000000003E-3</v>
      </c>
    </row>
    <row r="106" spans="11:25" x14ac:dyDescent="0.3">
      <c r="K106" t="s">
        <v>363</v>
      </c>
      <c r="L106">
        <v>850.33</v>
      </c>
      <c r="M106">
        <v>843.52</v>
      </c>
      <c r="N106">
        <v>857.44</v>
      </c>
      <c r="O106">
        <v>837.44</v>
      </c>
      <c r="P106" t="s">
        <v>364</v>
      </c>
      <c r="Q106" s="41">
        <v>2.3800000000000002E-2</v>
      </c>
      <c r="S106" t="s">
        <v>363</v>
      </c>
      <c r="T106" s="85">
        <v>19189.05</v>
      </c>
      <c r="U106" s="85">
        <v>18682.349999999999</v>
      </c>
      <c r="V106" s="85">
        <v>19201.7</v>
      </c>
      <c r="W106" s="85">
        <v>18646.7</v>
      </c>
      <c r="X106" t="s">
        <v>423</v>
      </c>
      <c r="Y106" s="41">
        <v>2.8000000000000001E-2</v>
      </c>
    </row>
  </sheetData>
  <hyperlinks>
    <hyperlink ref="C2" r:id="rId1" display="https://www.screener.in/company/VBL/consolidated/" xr:uid="{549DC508-42F1-43D4-B3DD-F2922C8A2908}"/>
    <hyperlink ref="C3" r:id="rId2" display="https://www.screener.in/company/BRITANNIA/consolidated/" xr:uid="{58EB8D19-9B47-422E-9039-842EB5243616}"/>
    <hyperlink ref="C4" r:id="rId3" display="https://www.screener.in/company/GODREJCP/consolidated/" xr:uid="{F4570F6A-28B8-4193-B108-C6B4DA8EBFA7}"/>
    <hyperlink ref="C5" r:id="rId4" display="https://www.screener.in/company/TATACONSUM/consolidated/" xr:uid="{058CD60C-44EF-4CFE-ACF5-E438CBB910DA}"/>
    <hyperlink ref="B1" r:id="rId5" display="https://www.screener.in/market/IN04/IN0401/?order=asc" xr:uid="{CCF986CF-35F6-4C9E-92BB-232BA7C56983}"/>
    <hyperlink ref="C1" r:id="rId6" display="https://www.screener.in/market/IN04/IN0401/?sort=name&amp;order=desc" xr:uid="{D3D72792-70CE-4CF9-8866-E431500DCD93}"/>
    <hyperlink ref="D1" r:id="rId7" display="https://www.screener.in/market/IN04/IN0401/?sort=current+price&amp;order=desc" xr:uid="{54A6B029-EE0E-49B4-B998-85D735A8709E}"/>
    <hyperlink ref="E1" r:id="rId8" display="https://www.screener.in/market/IN04/IN0401/?sort=price+to+earning&amp;order=desc" xr:uid="{DB741871-DA0F-4BDC-AA4C-AB205C95A779}"/>
    <hyperlink ref="F1" r:id="rId9" display="https://www.screener.in/market/IN04/IN0401/?sort=market+capitalization&amp;order=desc" xr:uid="{4665FA9D-3478-4F72-AE4A-1E43C09725F6}"/>
    <hyperlink ref="G1" r:id="rId10" display="https://www.screener.in/market/IN04/IN0401/?sort=debt+to+equity&amp;order=desc" xr:uid="{EAB29A88-6B07-4B1A-9478-92A2BE599980}"/>
    <hyperlink ref="H1" r:id="rId11" display="https://www.screener.in/market/IN04/IN0401/?sort=debt&amp;order=desc" xr:uid="{1E9D7C86-0AB1-4E26-AB06-D2654A04E30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E524-0D26-4826-BC09-8209296ABBD5}">
  <dimension ref="B3:U52"/>
  <sheetViews>
    <sheetView showGridLines="0" topLeftCell="A2" workbookViewId="0">
      <pane ySplit="2" topLeftCell="A20" activePane="bottomLeft" state="frozen"/>
      <selection activeCell="B2" sqref="B2"/>
      <selection pane="bottomLeft" activeCell="C44" sqref="C44:C46"/>
    </sheetView>
  </sheetViews>
  <sheetFormatPr defaultRowHeight="14.4" x14ac:dyDescent="0.3"/>
  <cols>
    <col min="1" max="1" width="1.88671875" customWidth="1"/>
    <col min="2" max="2" width="22.5546875" bestFit="1" customWidth="1"/>
  </cols>
  <sheetData>
    <row r="3" spans="2:16" x14ac:dyDescent="0.3">
      <c r="B3" s="9" t="s">
        <v>461</v>
      </c>
      <c r="C3" s="11">
        <v>41699</v>
      </c>
      <c r="D3" s="11">
        <v>42064</v>
      </c>
      <c r="E3" s="11">
        <v>42430</v>
      </c>
      <c r="F3" s="11">
        <v>42795</v>
      </c>
      <c r="G3" s="11">
        <v>43160</v>
      </c>
      <c r="H3" s="11">
        <v>43525</v>
      </c>
      <c r="I3" s="11">
        <v>43891</v>
      </c>
      <c r="J3" s="11">
        <v>44256</v>
      </c>
      <c r="K3" s="11">
        <v>44621</v>
      </c>
      <c r="L3" s="11">
        <v>44986</v>
      </c>
      <c r="M3" s="11">
        <v>45352</v>
      </c>
      <c r="N3" s="11">
        <v>45717</v>
      </c>
    </row>
    <row r="4" spans="2:16" x14ac:dyDescent="0.3">
      <c r="B4" s="110" t="s">
        <v>505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</row>
    <row r="5" spans="2:16" x14ac:dyDescent="0.3">
      <c r="B5" t="s">
        <v>475</v>
      </c>
      <c r="C5">
        <v>62</v>
      </c>
      <c r="D5">
        <v>62</v>
      </c>
      <c r="E5">
        <v>63</v>
      </c>
      <c r="F5">
        <v>63</v>
      </c>
      <c r="G5">
        <v>63</v>
      </c>
      <c r="H5">
        <v>63</v>
      </c>
      <c r="I5">
        <v>92</v>
      </c>
      <c r="J5">
        <v>92</v>
      </c>
      <c r="K5">
        <v>92</v>
      </c>
      <c r="L5">
        <v>93</v>
      </c>
      <c r="M5">
        <v>95</v>
      </c>
      <c r="N5">
        <v>99</v>
      </c>
    </row>
    <row r="6" spans="2:16" x14ac:dyDescent="0.3">
      <c r="B6" t="s">
        <v>12</v>
      </c>
      <c r="C6" s="108">
        <v>5787</v>
      </c>
      <c r="D6" s="108">
        <v>5431</v>
      </c>
      <c r="E6" s="108">
        <v>6184</v>
      </c>
      <c r="F6" s="108">
        <v>6202</v>
      </c>
      <c r="G6" s="108">
        <v>6968</v>
      </c>
      <c r="H6" s="108">
        <v>7269</v>
      </c>
      <c r="I6" s="108">
        <v>13723</v>
      </c>
      <c r="J6" s="108">
        <v>14442</v>
      </c>
      <c r="K6" s="108">
        <v>15050</v>
      </c>
      <c r="L6" s="108">
        <v>16184</v>
      </c>
      <c r="M6" s="108">
        <v>15962</v>
      </c>
      <c r="N6" s="108">
        <v>19902</v>
      </c>
    </row>
    <row r="7" spans="2:16" x14ac:dyDescent="0.3">
      <c r="B7" s="98" t="s">
        <v>502</v>
      </c>
      <c r="C7" s="111">
        <f>SUM(C5:C6)</f>
        <v>5849</v>
      </c>
      <c r="D7" s="111">
        <f t="shared" ref="D7:N7" si="0">SUM(D5:D6)</f>
        <v>5493</v>
      </c>
      <c r="E7" s="111">
        <f t="shared" si="0"/>
        <v>6247</v>
      </c>
      <c r="F7" s="111">
        <f t="shared" si="0"/>
        <v>6265</v>
      </c>
      <c r="G7" s="111">
        <f t="shared" si="0"/>
        <v>7031</v>
      </c>
      <c r="H7" s="111">
        <f t="shared" si="0"/>
        <v>7332</v>
      </c>
      <c r="I7" s="111">
        <f t="shared" si="0"/>
        <v>13815</v>
      </c>
      <c r="J7" s="111">
        <f t="shared" si="0"/>
        <v>14534</v>
      </c>
      <c r="K7" s="111">
        <f t="shared" si="0"/>
        <v>15142</v>
      </c>
      <c r="L7" s="111">
        <f t="shared" si="0"/>
        <v>16277</v>
      </c>
      <c r="M7" s="111">
        <f t="shared" si="0"/>
        <v>16057</v>
      </c>
      <c r="N7" s="111">
        <f t="shared" si="0"/>
        <v>20001</v>
      </c>
      <c r="P7" s="108"/>
    </row>
    <row r="8" spans="2:16" x14ac:dyDescent="0.3"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</row>
    <row r="9" spans="2:16" x14ac:dyDescent="0.3">
      <c r="B9" s="2" t="s">
        <v>507</v>
      </c>
      <c r="C9" s="108"/>
      <c r="D9" s="108"/>
      <c r="E9" s="108"/>
      <c r="G9" s="108"/>
      <c r="H9" s="108"/>
      <c r="I9" s="108"/>
      <c r="J9" s="108"/>
      <c r="K9" s="108"/>
      <c r="L9" s="108"/>
      <c r="M9" s="108"/>
      <c r="N9" s="108"/>
    </row>
    <row r="10" spans="2:16" x14ac:dyDescent="0.3">
      <c r="B10" t="s">
        <v>476</v>
      </c>
      <c r="C10" s="108">
        <v>1054</v>
      </c>
      <c r="D10">
        <v>884</v>
      </c>
      <c r="E10">
        <v>504</v>
      </c>
      <c r="F10">
        <v>450</v>
      </c>
      <c r="G10">
        <v>656</v>
      </c>
      <c r="H10">
        <v>787</v>
      </c>
      <c r="I10">
        <v>795</v>
      </c>
      <c r="J10">
        <v>288</v>
      </c>
      <c r="K10">
        <v>242</v>
      </c>
      <c r="L10">
        <v>206</v>
      </c>
      <c r="M10">
        <v>168</v>
      </c>
      <c r="N10">
        <v>191</v>
      </c>
    </row>
    <row r="11" spans="2:16" x14ac:dyDescent="0.3">
      <c r="B11" t="s">
        <v>477</v>
      </c>
      <c r="C11">
        <v>348</v>
      </c>
      <c r="D11">
        <v>382</v>
      </c>
      <c r="E11">
        <v>409</v>
      </c>
      <c r="F11">
        <v>320</v>
      </c>
      <c r="G11">
        <v>400</v>
      </c>
      <c r="H11">
        <v>330</v>
      </c>
      <c r="I11">
        <v>388</v>
      </c>
      <c r="J11">
        <v>919</v>
      </c>
      <c r="K11">
        <v>769</v>
      </c>
      <c r="L11">
        <v>977</v>
      </c>
      <c r="M11" s="108">
        <v>2786</v>
      </c>
      <c r="N11" s="108">
        <v>1658</v>
      </c>
    </row>
    <row r="12" spans="2:16" x14ac:dyDescent="0.3">
      <c r="B12" t="s">
        <v>478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330</v>
      </c>
      <c r="J12">
        <v>427</v>
      </c>
      <c r="K12">
        <v>401</v>
      </c>
      <c r="L12">
        <v>417</v>
      </c>
      <c r="M12">
        <v>523</v>
      </c>
      <c r="N12">
        <v>544</v>
      </c>
    </row>
    <row r="13" spans="2:16" x14ac:dyDescent="0.3">
      <c r="B13" t="s">
        <v>479</v>
      </c>
      <c r="C13">
        <v>37</v>
      </c>
      <c r="D13">
        <v>58</v>
      </c>
      <c r="E13">
        <v>441</v>
      </c>
      <c r="F13">
        <v>16</v>
      </c>
      <c r="G13">
        <v>11</v>
      </c>
      <c r="H13">
        <v>24</v>
      </c>
      <c r="I13">
        <v>74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2:16" x14ac:dyDescent="0.3">
      <c r="B14" s="98" t="s">
        <v>503</v>
      </c>
      <c r="C14" s="111">
        <f>SUM(C10:C13)</f>
        <v>1439</v>
      </c>
      <c r="D14" s="111">
        <f t="shared" ref="D14:N14" si="1">SUM(D10:D13)</f>
        <v>1324</v>
      </c>
      <c r="E14" s="111">
        <f t="shared" si="1"/>
        <v>1354</v>
      </c>
      <c r="F14" s="111">
        <f t="shared" si="1"/>
        <v>786</v>
      </c>
      <c r="G14" s="111">
        <f t="shared" si="1"/>
        <v>1067</v>
      </c>
      <c r="H14" s="111">
        <f t="shared" si="1"/>
        <v>1141</v>
      </c>
      <c r="I14" s="111">
        <f t="shared" si="1"/>
        <v>1587</v>
      </c>
      <c r="J14" s="111">
        <f t="shared" si="1"/>
        <v>1634</v>
      </c>
      <c r="K14" s="111">
        <f t="shared" si="1"/>
        <v>1412</v>
      </c>
      <c r="L14" s="111">
        <f t="shared" si="1"/>
        <v>1600</v>
      </c>
      <c r="M14" s="111">
        <f t="shared" si="1"/>
        <v>3477</v>
      </c>
      <c r="N14" s="111">
        <f t="shared" si="1"/>
        <v>2393</v>
      </c>
      <c r="P14" s="108"/>
    </row>
    <row r="16" spans="2:16" x14ac:dyDescent="0.3">
      <c r="B16" s="2" t="s">
        <v>506</v>
      </c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</row>
    <row r="17" spans="2:21" x14ac:dyDescent="0.3">
      <c r="B17" t="s">
        <v>121</v>
      </c>
      <c r="C17">
        <v>924</v>
      </c>
      <c r="D17">
        <v>876</v>
      </c>
      <c r="E17">
        <v>862</v>
      </c>
      <c r="F17">
        <v>920</v>
      </c>
      <c r="G17" s="108">
        <v>1009</v>
      </c>
      <c r="H17" s="108">
        <v>1028</v>
      </c>
      <c r="I17" s="108">
        <v>1092</v>
      </c>
      <c r="J17" s="108">
        <v>1093</v>
      </c>
      <c r="K17" s="108">
        <v>1152</v>
      </c>
      <c r="L17">
        <v>850</v>
      </c>
      <c r="M17" s="108">
        <v>1379</v>
      </c>
      <c r="N17" s="108">
        <v>1389</v>
      </c>
    </row>
    <row r="18" spans="2:21" x14ac:dyDescent="0.3">
      <c r="B18" t="s">
        <v>122</v>
      </c>
      <c r="C18">
        <v>769</v>
      </c>
      <c r="D18">
        <v>759</v>
      </c>
      <c r="E18">
        <v>677</v>
      </c>
      <c r="F18">
        <v>738</v>
      </c>
      <c r="G18">
        <v>706</v>
      </c>
      <c r="H18">
        <v>665</v>
      </c>
      <c r="I18">
        <v>944</v>
      </c>
      <c r="J18" s="108">
        <v>1625</v>
      </c>
      <c r="K18" s="108">
        <v>1916</v>
      </c>
      <c r="L18" s="108">
        <v>2348</v>
      </c>
      <c r="M18" s="108">
        <v>2707</v>
      </c>
      <c r="N18" s="108">
        <v>3508</v>
      </c>
    </row>
    <row r="19" spans="2:21" x14ac:dyDescent="0.3">
      <c r="B19" t="s">
        <v>123</v>
      </c>
      <c r="C19">
        <v>0</v>
      </c>
      <c r="D19">
        <v>0</v>
      </c>
      <c r="E19">
        <v>3</v>
      </c>
      <c r="F19">
        <v>6</v>
      </c>
      <c r="G19">
        <v>9</v>
      </c>
      <c r="H19">
        <v>6</v>
      </c>
      <c r="I19">
        <v>13</v>
      </c>
      <c r="J19">
        <v>41</v>
      </c>
      <c r="K19">
        <v>44</v>
      </c>
      <c r="L19">
        <v>52</v>
      </c>
      <c r="M19">
        <v>64</v>
      </c>
      <c r="N19">
        <v>65</v>
      </c>
    </row>
    <row r="20" spans="2:21" x14ac:dyDescent="0.3">
      <c r="B20" t="s">
        <v>124</v>
      </c>
      <c r="C20">
        <v>932</v>
      </c>
      <c r="D20" s="108">
        <v>1005</v>
      </c>
      <c r="E20">
        <v>751</v>
      </c>
      <c r="F20">
        <v>836</v>
      </c>
      <c r="G20">
        <v>638</v>
      </c>
      <c r="H20">
        <v>710</v>
      </c>
      <c r="I20" s="108">
        <v>1022</v>
      </c>
      <c r="J20" s="108">
        <v>1291</v>
      </c>
      <c r="K20" s="108">
        <v>1409</v>
      </c>
      <c r="L20" s="108">
        <v>1636</v>
      </c>
      <c r="M20" s="108">
        <v>4195</v>
      </c>
      <c r="N20" s="108">
        <v>4474</v>
      </c>
    </row>
    <row r="21" spans="2:21" x14ac:dyDescent="0.3">
      <c r="B21" s="98" t="s">
        <v>504</v>
      </c>
      <c r="C21" s="111">
        <f>SUM(C17:C20)</f>
        <v>2625</v>
      </c>
      <c r="D21" s="111">
        <f t="shared" ref="D21:N21" si="2">SUM(D17:D20)</f>
        <v>2640</v>
      </c>
      <c r="E21" s="111">
        <f t="shared" si="2"/>
        <v>2293</v>
      </c>
      <c r="F21" s="111">
        <f t="shared" si="2"/>
        <v>2500</v>
      </c>
      <c r="G21" s="111">
        <f t="shared" si="2"/>
        <v>2362</v>
      </c>
      <c r="H21" s="111">
        <f t="shared" si="2"/>
        <v>2409</v>
      </c>
      <c r="I21" s="111">
        <f t="shared" si="2"/>
        <v>3071</v>
      </c>
      <c r="J21" s="111">
        <f t="shared" si="2"/>
        <v>4050</v>
      </c>
      <c r="K21" s="111">
        <f t="shared" si="2"/>
        <v>4521</v>
      </c>
      <c r="L21" s="111">
        <f t="shared" si="2"/>
        <v>4886</v>
      </c>
      <c r="M21" s="111">
        <f t="shared" si="2"/>
        <v>8345</v>
      </c>
      <c r="N21" s="111">
        <f t="shared" si="2"/>
        <v>9436</v>
      </c>
      <c r="Q21" s="108"/>
      <c r="R21" s="108"/>
      <c r="S21" s="108"/>
      <c r="T21" s="108"/>
      <c r="U21" s="108"/>
    </row>
    <row r="22" spans="2:21" ht="15" thickBot="1" x14ac:dyDescent="0.35">
      <c r="D22" s="108"/>
      <c r="I22" s="108"/>
      <c r="J22" s="108"/>
      <c r="K22" s="108"/>
      <c r="L22" s="108"/>
      <c r="M22" s="108"/>
      <c r="N22" s="108"/>
    </row>
    <row r="23" spans="2:21" s="2" customFormat="1" ht="15" thickBot="1" x14ac:dyDescent="0.35">
      <c r="B23" s="112" t="s">
        <v>480</v>
      </c>
      <c r="C23" s="113">
        <v>9911</v>
      </c>
      <c r="D23" s="113">
        <v>9458</v>
      </c>
      <c r="E23" s="113">
        <v>9895</v>
      </c>
      <c r="F23" s="113">
        <v>9551</v>
      </c>
      <c r="G23" s="113">
        <v>10461</v>
      </c>
      <c r="H23" s="113">
        <v>10881</v>
      </c>
      <c r="I23" s="113">
        <v>18473</v>
      </c>
      <c r="J23" s="113">
        <v>20218</v>
      </c>
      <c r="K23" s="113">
        <v>21075</v>
      </c>
      <c r="L23" s="113">
        <v>22762</v>
      </c>
      <c r="M23" s="113">
        <v>27879</v>
      </c>
      <c r="N23" s="113">
        <v>31831</v>
      </c>
      <c r="O23" s="109"/>
    </row>
    <row r="24" spans="2:21" s="2" customFormat="1" ht="15" thickTop="1" x14ac:dyDescent="0.3"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</row>
    <row r="25" spans="2:21" s="2" customFormat="1" x14ac:dyDescent="0.3">
      <c r="B25" s="2" t="s">
        <v>498</v>
      </c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</row>
    <row r="26" spans="2:21" s="2" customFormat="1" x14ac:dyDescent="0.3">
      <c r="B26" s="2" t="s">
        <v>499</v>
      </c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</row>
    <row r="27" spans="2:21" x14ac:dyDescent="0.3">
      <c r="B27" t="s">
        <v>481</v>
      </c>
      <c r="C27">
        <v>60</v>
      </c>
      <c r="D27">
        <v>60</v>
      </c>
      <c r="E27">
        <v>68</v>
      </c>
      <c r="F27">
        <v>60</v>
      </c>
      <c r="G27">
        <v>59</v>
      </c>
      <c r="H27">
        <v>63</v>
      </c>
      <c r="I27">
        <v>150</v>
      </c>
      <c r="J27">
        <v>146</v>
      </c>
      <c r="K27">
        <v>168</v>
      </c>
      <c r="L27">
        <v>172</v>
      </c>
      <c r="M27">
        <v>204</v>
      </c>
      <c r="N27">
        <v>192</v>
      </c>
    </row>
    <row r="28" spans="2:21" x14ac:dyDescent="0.3">
      <c r="B28" t="s">
        <v>482</v>
      </c>
      <c r="C28">
        <v>238</v>
      </c>
      <c r="D28">
        <v>251</v>
      </c>
      <c r="E28">
        <v>266</v>
      </c>
      <c r="F28">
        <v>229</v>
      </c>
      <c r="G28">
        <v>254</v>
      </c>
      <c r="H28">
        <v>316</v>
      </c>
      <c r="I28">
        <v>528</v>
      </c>
      <c r="J28">
        <v>640</v>
      </c>
      <c r="K28">
        <v>714</v>
      </c>
      <c r="L28">
        <v>728</v>
      </c>
      <c r="M28">
        <v>963</v>
      </c>
      <c r="N28" s="108">
        <v>1027</v>
      </c>
    </row>
    <row r="29" spans="2:21" x14ac:dyDescent="0.3">
      <c r="B29" t="s">
        <v>483</v>
      </c>
      <c r="C29">
        <v>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 s="108"/>
    </row>
    <row r="30" spans="2:21" x14ac:dyDescent="0.3">
      <c r="B30" t="s">
        <v>484</v>
      </c>
      <c r="C30" s="108">
        <v>1313</v>
      </c>
      <c r="D30" s="108">
        <v>1366</v>
      </c>
      <c r="E30" s="108">
        <v>1387</v>
      </c>
      <c r="F30" s="108">
        <v>1305</v>
      </c>
      <c r="G30" s="108">
        <v>1409</v>
      </c>
      <c r="H30" s="108">
        <v>1465</v>
      </c>
      <c r="I30" s="108">
        <v>1956</v>
      </c>
      <c r="J30" s="108">
        <v>2054</v>
      </c>
      <c r="K30" s="108">
        <v>2273</v>
      </c>
      <c r="L30" s="108">
        <v>2442</v>
      </c>
      <c r="M30" s="108">
        <v>2811</v>
      </c>
      <c r="N30" s="108">
        <v>2785</v>
      </c>
      <c r="P30" s="108"/>
    </row>
    <row r="31" spans="2:21" x14ac:dyDescent="0.3">
      <c r="B31" t="s">
        <v>485</v>
      </c>
      <c r="C31">
        <v>7</v>
      </c>
      <c r="D31">
        <v>9</v>
      </c>
      <c r="E31">
        <v>9</v>
      </c>
      <c r="F31">
        <v>5</v>
      </c>
      <c r="G31">
        <v>7</v>
      </c>
      <c r="H31">
        <v>7</v>
      </c>
      <c r="I31">
        <v>8</v>
      </c>
      <c r="J31">
        <v>10</v>
      </c>
      <c r="K31">
        <v>9</v>
      </c>
      <c r="L31">
        <v>7</v>
      </c>
      <c r="M31">
        <v>0</v>
      </c>
      <c r="N31">
        <v>0</v>
      </c>
    </row>
    <row r="32" spans="2:21" x14ac:dyDescent="0.3">
      <c r="B32" t="s">
        <v>486</v>
      </c>
      <c r="C32">
        <v>255</v>
      </c>
      <c r="D32">
        <v>283</v>
      </c>
      <c r="E32">
        <v>171</v>
      </c>
      <c r="F32">
        <v>165</v>
      </c>
      <c r="G32">
        <v>178</v>
      </c>
      <c r="H32">
        <v>190</v>
      </c>
      <c r="I32">
        <v>217</v>
      </c>
      <c r="J32">
        <v>229</v>
      </c>
      <c r="K32">
        <v>229</v>
      </c>
      <c r="L32">
        <v>246</v>
      </c>
      <c r="M32">
        <v>264</v>
      </c>
      <c r="N32">
        <v>295</v>
      </c>
    </row>
    <row r="33" spans="2:15" x14ac:dyDescent="0.3">
      <c r="B33" t="s">
        <v>487</v>
      </c>
      <c r="C33">
        <v>26</v>
      </c>
      <c r="D33">
        <v>27</v>
      </c>
      <c r="E33">
        <v>23</v>
      </c>
      <c r="F33">
        <v>24</v>
      </c>
      <c r="G33">
        <v>23</v>
      </c>
      <c r="H33">
        <v>22</v>
      </c>
      <c r="I33">
        <v>27</v>
      </c>
      <c r="J33">
        <v>25</v>
      </c>
      <c r="K33">
        <v>23</v>
      </c>
      <c r="L33">
        <v>20</v>
      </c>
      <c r="M33">
        <v>27</v>
      </c>
      <c r="N33">
        <v>34</v>
      </c>
    </row>
    <row r="34" spans="2:15" x14ac:dyDescent="0.3">
      <c r="B34" t="s">
        <v>488</v>
      </c>
      <c r="C34" s="108">
        <v>4243</v>
      </c>
      <c r="D34" s="108">
        <v>3892</v>
      </c>
      <c r="E34" s="108">
        <v>4408</v>
      </c>
      <c r="F34" s="108">
        <v>4173</v>
      </c>
      <c r="G34" s="108">
        <v>4408</v>
      </c>
      <c r="H34" s="108">
        <v>4485</v>
      </c>
      <c r="I34" s="108">
        <v>10566</v>
      </c>
      <c r="J34" s="108">
        <v>10812</v>
      </c>
      <c r="K34" s="108">
        <v>11008</v>
      </c>
      <c r="L34" s="108">
        <v>11405</v>
      </c>
      <c r="M34" s="108">
        <v>17596</v>
      </c>
      <c r="N34" s="108">
        <v>19944</v>
      </c>
    </row>
    <row r="35" spans="2:15" x14ac:dyDescent="0.3">
      <c r="B35" t="s">
        <v>489</v>
      </c>
      <c r="C35">
        <v>348</v>
      </c>
      <c r="D35">
        <v>386</v>
      </c>
      <c r="E35">
        <v>149</v>
      </c>
      <c r="F35">
        <v>327</v>
      </c>
      <c r="G35">
        <v>331</v>
      </c>
      <c r="H35">
        <v>349</v>
      </c>
      <c r="I35">
        <v>668</v>
      </c>
      <c r="J35">
        <v>576</v>
      </c>
      <c r="K35">
        <v>802</v>
      </c>
      <c r="L35">
        <v>881</v>
      </c>
      <c r="M35">
        <v>646</v>
      </c>
      <c r="N35">
        <v>720</v>
      </c>
    </row>
    <row r="36" spans="2:15" x14ac:dyDescent="0.3">
      <c r="B36" t="s">
        <v>490</v>
      </c>
      <c r="C36" s="108">
        <v>6498</v>
      </c>
      <c r="D36" s="108">
        <v>6283</v>
      </c>
      <c r="E36" s="108">
        <v>6480</v>
      </c>
      <c r="F36" s="108">
        <v>6287</v>
      </c>
      <c r="G36" s="108">
        <v>6669</v>
      </c>
      <c r="H36" s="108">
        <v>6898</v>
      </c>
      <c r="I36" s="108">
        <v>14120</v>
      </c>
      <c r="J36" s="108">
        <v>14492</v>
      </c>
      <c r="K36" s="108">
        <v>15226</v>
      </c>
      <c r="L36" s="108">
        <v>15900</v>
      </c>
      <c r="M36" s="108">
        <v>22510</v>
      </c>
      <c r="N36" s="108">
        <v>24997</v>
      </c>
    </row>
    <row r="37" spans="2:15" x14ac:dyDescent="0.3">
      <c r="B37" t="s">
        <v>491</v>
      </c>
      <c r="C37" s="108">
        <v>1317</v>
      </c>
      <c r="D37" s="108">
        <v>1361</v>
      </c>
      <c r="E37" s="108">
        <v>1818</v>
      </c>
      <c r="F37" s="108">
        <v>1715</v>
      </c>
      <c r="G37" s="108">
        <v>1870</v>
      </c>
      <c r="H37" s="108">
        <v>1984</v>
      </c>
      <c r="I37" s="108">
        <v>2464</v>
      </c>
      <c r="J37" s="108">
        <v>2469</v>
      </c>
      <c r="K37" s="108">
        <v>2627</v>
      </c>
      <c r="L37" s="108">
        <v>2830</v>
      </c>
      <c r="M37" s="108">
        <v>3152</v>
      </c>
      <c r="N37" s="108">
        <v>3520</v>
      </c>
    </row>
    <row r="38" spans="2:15" x14ac:dyDescent="0.3">
      <c r="B38" t="s">
        <v>513</v>
      </c>
      <c r="C38" s="108">
        <v>5181</v>
      </c>
      <c r="D38" s="108">
        <v>4922</v>
      </c>
      <c r="E38" s="108">
        <v>4662</v>
      </c>
      <c r="F38" s="108">
        <v>4573</v>
      </c>
      <c r="G38" s="108">
        <v>4798</v>
      </c>
      <c r="H38" s="108">
        <v>4913</v>
      </c>
      <c r="I38" s="108">
        <v>11656</v>
      </c>
      <c r="J38" s="108">
        <v>12023</v>
      </c>
      <c r="K38" s="108">
        <v>12599</v>
      </c>
      <c r="L38" s="108">
        <v>13070</v>
      </c>
      <c r="M38" s="108">
        <v>19358</v>
      </c>
      <c r="N38" s="108">
        <v>21477</v>
      </c>
    </row>
    <row r="39" spans="2:15" x14ac:dyDescent="0.3">
      <c r="B39" t="s">
        <v>492</v>
      </c>
      <c r="C39">
        <v>60</v>
      </c>
      <c r="D39">
        <v>47</v>
      </c>
      <c r="E39">
        <v>39</v>
      </c>
      <c r="F39">
        <v>63</v>
      </c>
      <c r="G39">
        <v>135</v>
      </c>
      <c r="H39">
        <v>424</v>
      </c>
      <c r="I39">
        <v>95</v>
      </c>
      <c r="J39">
        <v>113</v>
      </c>
      <c r="K39">
        <v>247</v>
      </c>
      <c r="L39">
        <v>295</v>
      </c>
      <c r="M39">
        <v>190</v>
      </c>
      <c r="N39">
        <v>218</v>
      </c>
    </row>
    <row r="40" spans="2:15" x14ac:dyDescent="0.3">
      <c r="B40" t="s">
        <v>16</v>
      </c>
      <c r="C40">
        <v>611</v>
      </c>
      <c r="D40">
        <v>622</v>
      </c>
      <c r="E40" s="108">
        <v>1366</v>
      </c>
      <c r="F40" s="108">
        <v>1451</v>
      </c>
      <c r="G40" s="108">
        <v>1161</v>
      </c>
      <c r="H40" s="108">
        <v>1188</v>
      </c>
      <c r="I40" s="108">
        <v>1323</v>
      </c>
      <c r="J40">
        <v>806</v>
      </c>
      <c r="K40">
        <v>797</v>
      </c>
      <c r="L40" s="108">
        <v>1433</v>
      </c>
      <c r="M40">
        <v>871</v>
      </c>
      <c r="N40">
        <v>969</v>
      </c>
    </row>
    <row r="41" spans="2:15" x14ac:dyDescent="0.3">
      <c r="B41" s="98" t="s">
        <v>497</v>
      </c>
      <c r="C41" s="111">
        <f>SUM(C38:C40)</f>
        <v>5852</v>
      </c>
      <c r="D41" s="111">
        <f t="shared" ref="D41:N41" si="3">SUM(D38:D40)</f>
        <v>5591</v>
      </c>
      <c r="E41" s="111">
        <f t="shared" si="3"/>
        <v>6067</v>
      </c>
      <c r="F41" s="111">
        <f t="shared" si="3"/>
        <v>6087</v>
      </c>
      <c r="G41" s="111">
        <f t="shared" si="3"/>
        <v>6094</v>
      </c>
      <c r="H41" s="111">
        <f t="shared" si="3"/>
        <v>6525</v>
      </c>
      <c r="I41" s="111">
        <f t="shared" si="3"/>
        <v>13074</v>
      </c>
      <c r="J41" s="111">
        <f t="shared" si="3"/>
        <v>12942</v>
      </c>
      <c r="K41" s="111">
        <f t="shared" si="3"/>
        <v>13643</v>
      </c>
      <c r="L41" s="111">
        <f t="shared" si="3"/>
        <v>14798</v>
      </c>
      <c r="M41" s="111">
        <f t="shared" si="3"/>
        <v>20419</v>
      </c>
      <c r="N41" s="111">
        <f t="shared" si="3"/>
        <v>22664</v>
      </c>
      <c r="O41" s="108"/>
    </row>
    <row r="43" spans="2:15" x14ac:dyDescent="0.3">
      <c r="B43" s="2" t="s">
        <v>500</v>
      </c>
    </row>
    <row r="44" spans="2:15" x14ac:dyDescent="0.3">
      <c r="B44" t="s">
        <v>493</v>
      </c>
      <c r="C44" s="108">
        <v>1518</v>
      </c>
      <c r="D44" s="108">
        <v>1625</v>
      </c>
      <c r="E44" s="108">
        <v>1629</v>
      </c>
      <c r="F44" s="108">
        <v>1453</v>
      </c>
      <c r="G44" s="108">
        <v>1448</v>
      </c>
      <c r="H44" s="108">
        <v>1609</v>
      </c>
      <c r="I44" s="108">
        <v>1712</v>
      </c>
      <c r="J44" s="108">
        <v>2249</v>
      </c>
      <c r="K44" s="108">
        <v>2267</v>
      </c>
      <c r="L44" s="108">
        <v>2702</v>
      </c>
      <c r="M44" s="108">
        <v>2769</v>
      </c>
      <c r="N44" s="108">
        <v>3600</v>
      </c>
    </row>
    <row r="45" spans="2:15" x14ac:dyDescent="0.3">
      <c r="B45" t="s">
        <v>501</v>
      </c>
      <c r="C45">
        <v>654</v>
      </c>
      <c r="D45">
        <v>616</v>
      </c>
      <c r="E45">
        <v>592</v>
      </c>
      <c r="F45">
        <v>592</v>
      </c>
      <c r="G45">
        <v>648</v>
      </c>
      <c r="H45">
        <v>681</v>
      </c>
      <c r="I45">
        <v>922</v>
      </c>
      <c r="J45">
        <v>761</v>
      </c>
      <c r="K45">
        <v>835</v>
      </c>
      <c r="L45">
        <v>798</v>
      </c>
      <c r="M45">
        <v>897</v>
      </c>
      <c r="N45">
        <v>870</v>
      </c>
    </row>
    <row r="46" spans="2:15" x14ac:dyDescent="0.3">
      <c r="B46" t="s">
        <v>494</v>
      </c>
      <c r="C46">
        <v>725</v>
      </c>
      <c r="D46">
        <v>544</v>
      </c>
      <c r="E46">
        <v>501</v>
      </c>
      <c r="F46">
        <v>575</v>
      </c>
      <c r="G46" s="108">
        <v>1238</v>
      </c>
      <c r="H46" s="108">
        <v>1034</v>
      </c>
      <c r="I46" s="108">
        <v>1621</v>
      </c>
      <c r="J46" s="108">
        <v>3075</v>
      </c>
      <c r="K46" s="108">
        <v>2600</v>
      </c>
      <c r="L46" s="108">
        <v>2797</v>
      </c>
      <c r="M46" s="108">
        <v>2454</v>
      </c>
      <c r="N46" s="108">
        <v>2818</v>
      </c>
    </row>
    <row r="47" spans="2:15" x14ac:dyDescent="0.3">
      <c r="B47" t="s">
        <v>495</v>
      </c>
      <c r="C47">
        <v>81</v>
      </c>
      <c r="D47">
        <v>39</v>
      </c>
      <c r="E47">
        <v>241</v>
      </c>
      <c r="F47">
        <v>428</v>
      </c>
      <c r="G47">
        <v>333</v>
      </c>
      <c r="H47">
        <v>108</v>
      </c>
      <c r="I47">
        <v>133</v>
      </c>
      <c r="J47">
        <v>207</v>
      </c>
      <c r="K47">
        <v>235</v>
      </c>
      <c r="L47">
        <v>235</v>
      </c>
      <c r="M47">
        <v>591</v>
      </c>
      <c r="N47">
        <v>737</v>
      </c>
    </row>
    <row r="48" spans="2:15" x14ac:dyDescent="0.3">
      <c r="B48" t="s">
        <v>496</v>
      </c>
      <c r="C48" s="108">
        <v>1081</v>
      </c>
      <c r="D48" s="108">
        <v>1042</v>
      </c>
      <c r="E48">
        <v>864</v>
      </c>
      <c r="F48">
        <v>417</v>
      </c>
      <c r="G48">
        <v>698</v>
      </c>
      <c r="H48">
        <v>925</v>
      </c>
      <c r="I48" s="108">
        <v>1010</v>
      </c>
      <c r="J48">
        <v>983</v>
      </c>
      <c r="K48" s="108">
        <v>1495</v>
      </c>
      <c r="L48" s="108">
        <v>1433</v>
      </c>
      <c r="M48">
        <v>749</v>
      </c>
      <c r="N48" s="108">
        <v>1143</v>
      </c>
    </row>
    <row r="49" spans="2:14" x14ac:dyDescent="0.3">
      <c r="B49" s="98" t="s">
        <v>86</v>
      </c>
      <c r="C49" s="111">
        <v>4060</v>
      </c>
      <c r="D49" s="111">
        <v>3867</v>
      </c>
      <c r="E49" s="111">
        <v>3828</v>
      </c>
      <c r="F49" s="111">
        <v>3465</v>
      </c>
      <c r="G49" s="111">
        <v>4366</v>
      </c>
      <c r="H49" s="111">
        <v>4355</v>
      </c>
      <c r="I49" s="111">
        <v>5399</v>
      </c>
      <c r="J49" s="111">
        <v>7276</v>
      </c>
      <c r="K49" s="111">
        <v>7431</v>
      </c>
      <c r="L49" s="111">
        <v>7965</v>
      </c>
      <c r="M49" s="111">
        <v>7461</v>
      </c>
      <c r="N49" s="111">
        <v>9167</v>
      </c>
    </row>
    <row r="50" spans="2:14" ht="15" thickBot="1" x14ac:dyDescent="0.35">
      <c r="B50" s="2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</row>
    <row r="51" spans="2:14" ht="15" thickBot="1" x14ac:dyDescent="0.35">
      <c r="B51" s="112" t="s">
        <v>87</v>
      </c>
      <c r="C51" s="113">
        <v>9911</v>
      </c>
      <c r="D51" s="113">
        <v>9458</v>
      </c>
      <c r="E51" s="113">
        <v>9895</v>
      </c>
      <c r="F51" s="113">
        <v>9551</v>
      </c>
      <c r="G51" s="113">
        <v>10461</v>
      </c>
      <c r="H51" s="113">
        <v>10881</v>
      </c>
      <c r="I51" s="113">
        <v>18473</v>
      </c>
      <c r="J51" s="113">
        <v>20218</v>
      </c>
      <c r="K51" s="113">
        <v>21075</v>
      </c>
      <c r="L51" s="113">
        <v>22762</v>
      </c>
      <c r="M51" s="113">
        <v>27879</v>
      </c>
      <c r="N51" s="113">
        <v>31831</v>
      </c>
    </row>
    <row r="52" spans="2:14" ht="15" thickTop="1" x14ac:dyDescent="0.3"/>
  </sheetData>
  <pageMargins left="0.7" right="0.7" top="0.75" bottom="0.75" header="0.3" footer="0.3"/>
  <ignoredErrors>
    <ignoredError sqref="C41:N41" formulaRange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B204-F0A3-44CE-8879-630C410AA2CA}">
  <dimension ref="B2:N17"/>
  <sheetViews>
    <sheetView workbookViewId="0">
      <selection activeCell="F6" sqref="F6"/>
    </sheetView>
  </sheetViews>
  <sheetFormatPr defaultRowHeight="14.4" x14ac:dyDescent="0.3"/>
  <cols>
    <col min="2" max="2" width="8.21875" bestFit="1" customWidth="1"/>
    <col min="3" max="3" width="5.88671875" bestFit="1" customWidth="1"/>
    <col min="4" max="4" width="9.33203125" bestFit="1" customWidth="1"/>
    <col min="5" max="5" width="10.5546875" bestFit="1" customWidth="1"/>
    <col min="6" max="6" width="10.44140625" customWidth="1"/>
    <col min="7" max="7" width="9.109375" bestFit="1" customWidth="1"/>
    <col min="8" max="8" width="9.5546875" bestFit="1" customWidth="1"/>
    <col min="9" max="9" width="10.5546875" bestFit="1" customWidth="1"/>
    <col min="10" max="10" width="9.33203125" bestFit="1" customWidth="1"/>
    <col min="11" max="12" width="9.44140625" bestFit="1" customWidth="1"/>
    <col min="13" max="13" width="9" bestFit="1" customWidth="1"/>
  </cols>
  <sheetData>
    <row r="2" spans="2:14" ht="29.4" thickBot="1" x14ac:dyDescent="0.35">
      <c r="B2" s="156" t="s">
        <v>155</v>
      </c>
      <c r="C2" s="157" t="s">
        <v>156</v>
      </c>
      <c r="D2" s="158" t="s">
        <v>157</v>
      </c>
      <c r="E2" s="158" t="s">
        <v>568</v>
      </c>
      <c r="F2" s="158" t="s">
        <v>584</v>
      </c>
      <c r="G2" s="158" t="s">
        <v>161</v>
      </c>
      <c r="H2" t="s">
        <v>585</v>
      </c>
      <c r="I2" s="158" t="s">
        <v>569</v>
      </c>
      <c r="J2" s="158" t="s">
        <v>570</v>
      </c>
      <c r="K2" s="158" t="s">
        <v>571</v>
      </c>
      <c r="L2" s="158" t="s">
        <v>583</v>
      </c>
      <c r="M2" t="s">
        <v>586</v>
      </c>
      <c r="N2" t="s">
        <v>67</v>
      </c>
    </row>
    <row r="3" spans="2:14" x14ac:dyDescent="0.3">
      <c r="B3" s="163">
        <v>1</v>
      </c>
      <c r="C3" s="160" t="s">
        <v>151</v>
      </c>
      <c r="D3" s="162">
        <v>459.6</v>
      </c>
      <c r="E3" s="162">
        <v>338.19</v>
      </c>
      <c r="F3" s="161">
        <f t="shared" ref="F3:F17" si="0">D3*E3</f>
        <v>155432.12400000001</v>
      </c>
      <c r="G3" s="162">
        <v>2826.25</v>
      </c>
      <c r="H3" s="72">
        <f t="shared" ref="H3:H17" si="1">F3+G3-I3</f>
        <v>155808.32400000002</v>
      </c>
      <c r="I3" s="162">
        <v>2450.0500000000002</v>
      </c>
      <c r="J3" s="162">
        <v>21257.27</v>
      </c>
      <c r="K3" s="162">
        <v>2634.28</v>
      </c>
      <c r="L3" s="155">
        <v>30.4</v>
      </c>
      <c r="M3">
        <f>1/L3</f>
        <v>3.2894736842105261E-2</v>
      </c>
      <c r="N3">
        <f>M3*H3</f>
        <v>5125.2738157894737</v>
      </c>
    </row>
    <row r="4" spans="2:14" x14ac:dyDescent="0.3">
      <c r="B4" s="163">
        <f>B3+1</f>
        <v>2</v>
      </c>
      <c r="C4" s="159" t="s">
        <v>152</v>
      </c>
      <c r="D4" s="161">
        <v>5587</v>
      </c>
      <c r="E4" s="161">
        <v>24.09</v>
      </c>
      <c r="F4" s="161">
        <f t="shared" si="0"/>
        <v>134590.82999999999</v>
      </c>
      <c r="G4" s="161">
        <v>1246.51</v>
      </c>
      <c r="H4" s="72">
        <f t="shared" si="1"/>
        <v>135524.85999999999</v>
      </c>
      <c r="I4" s="161">
        <v>312.48</v>
      </c>
      <c r="J4" s="161">
        <v>17942.669999999998</v>
      </c>
      <c r="K4" s="161">
        <v>2177.86</v>
      </c>
      <c r="L4" s="154">
        <v>39.81</v>
      </c>
      <c r="M4">
        <f t="shared" ref="M4:M17" si="2">1/L4</f>
        <v>2.5119316754584273E-2</v>
      </c>
      <c r="N4">
        <f t="shared" ref="N4:N17" si="3">M4*H4</f>
        <v>3404.2918864606877</v>
      </c>
    </row>
    <row r="5" spans="2:14" x14ac:dyDescent="0.3">
      <c r="B5" s="163">
        <f t="shared" ref="B5:B17" si="4">B4+1</f>
        <v>3</v>
      </c>
      <c r="C5" s="160" t="s">
        <v>153</v>
      </c>
      <c r="D5" s="162">
        <v>1189.4000000000001</v>
      </c>
      <c r="E5" s="162">
        <v>102.3</v>
      </c>
      <c r="F5" s="161">
        <f t="shared" si="0"/>
        <v>121675.62000000001</v>
      </c>
      <c r="G5" s="162">
        <v>4004.49</v>
      </c>
      <c r="H5" s="72">
        <f t="shared" si="1"/>
        <v>125197.05000000002</v>
      </c>
      <c r="I5" s="162">
        <v>483.06</v>
      </c>
      <c r="J5" s="162">
        <v>14364.29</v>
      </c>
      <c r="K5" s="162">
        <v>1852.3</v>
      </c>
      <c r="L5" s="155">
        <v>37.72</v>
      </c>
      <c r="M5">
        <f t="shared" si="2"/>
        <v>2.6511134676564158E-2</v>
      </c>
      <c r="N5">
        <f t="shared" si="3"/>
        <v>3319.1158536585372</v>
      </c>
    </row>
    <row r="6" spans="2:14" x14ac:dyDescent="0.3">
      <c r="B6" s="163">
        <f t="shared" si="4"/>
        <v>4</v>
      </c>
      <c r="C6" s="159" t="s">
        <v>154</v>
      </c>
      <c r="D6" s="161">
        <v>1100.2</v>
      </c>
      <c r="E6" s="161">
        <v>98.95</v>
      </c>
      <c r="F6" s="161">
        <f t="shared" si="0"/>
        <v>108864.79000000001</v>
      </c>
      <c r="G6" s="161">
        <v>2392.6799999999998</v>
      </c>
      <c r="H6" s="72">
        <f t="shared" si="1"/>
        <v>108439.61</v>
      </c>
      <c r="I6" s="161">
        <v>2817.86</v>
      </c>
      <c r="J6" s="161">
        <v>17618.3</v>
      </c>
      <c r="K6" s="161">
        <v>1287.0999999999999</v>
      </c>
      <c r="L6" s="154">
        <v>40.950000000000003</v>
      </c>
      <c r="M6">
        <f t="shared" si="2"/>
        <v>2.442002442002442E-2</v>
      </c>
      <c r="N6">
        <f t="shared" si="3"/>
        <v>2648.0979242979242</v>
      </c>
    </row>
    <row r="7" spans="2:14" x14ac:dyDescent="0.3">
      <c r="B7" s="163">
        <f t="shared" si="4"/>
        <v>5</v>
      </c>
      <c r="C7" s="160" t="s">
        <v>575</v>
      </c>
      <c r="D7" s="162">
        <v>1458.9</v>
      </c>
      <c r="E7" s="162">
        <v>72.739999999999995</v>
      </c>
      <c r="F7" s="161">
        <f t="shared" si="0"/>
        <v>106120.386</v>
      </c>
      <c r="G7" s="162">
        <v>480</v>
      </c>
      <c r="H7" s="72">
        <f t="shared" si="1"/>
        <v>104570.386</v>
      </c>
      <c r="I7" s="162">
        <v>2030</v>
      </c>
      <c r="J7" s="162">
        <v>12069</v>
      </c>
      <c r="K7" s="162">
        <v>1582</v>
      </c>
      <c r="L7" s="155">
        <v>40.65</v>
      </c>
      <c r="M7">
        <f t="shared" si="2"/>
        <v>2.4600246002460024E-2</v>
      </c>
      <c r="N7">
        <f t="shared" si="3"/>
        <v>2572.4572201722017</v>
      </c>
    </row>
    <row r="8" spans="2:14" x14ac:dyDescent="0.3">
      <c r="B8" s="163">
        <f t="shared" si="4"/>
        <v>6</v>
      </c>
      <c r="C8" s="159" t="s">
        <v>576</v>
      </c>
      <c r="D8" s="161">
        <v>693.3</v>
      </c>
      <c r="E8" s="161">
        <v>129.6</v>
      </c>
      <c r="F8" s="161">
        <f t="shared" si="0"/>
        <v>89851.68</v>
      </c>
      <c r="G8" s="161">
        <v>554</v>
      </c>
      <c r="H8" s="72">
        <f t="shared" si="1"/>
        <v>89628.68</v>
      </c>
      <c r="I8" s="161">
        <v>777</v>
      </c>
      <c r="J8" s="161">
        <v>10831</v>
      </c>
      <c r="K8" s="161">
        <v>1658</v>
      </c>
      <c r="L8" s="154">
        <v>38.19</v>
      </c>
      <c r="M8">
        <f t="shared" si="2"/>
        <v>2.6184865147944488E-2</v>
      </c>
      <c r="N8">
        <f t="shared" si="3"/>
        <v>2346.9148991882689</v>
      </c>
    </row>
    <row r="9" spans="2:14" x14ac:dyDescent="0.3">
      <c r="B9" s="163">
        <f t="shared" si="4"/>
        <v>7</v>
      </c>
      <c r="C9" s="160" t="s">
        <v>577</v>
      </c>
      <c r="D9" s="162">
        <v>466.9</v>
      </c>
      <c r="E9" s="162">
        <v>177.37</v>
      </c>
      <c r="F9" s="161">
        <f t="shared" si="0"/>
        <v>82814.053</v>
      </c>
      <c r="G9" s="162">
        <v>950.37</v>
      </c>
      <c r="H9" s="72">
        <f t="shared" si="1"/>
        <v>83186.413</v>
      </c>
      <c r="I9" s="162">
        <v>578.01</v>
      </c>
      <c r="J9" s="162">
        <v>12563.09</v>
      </c>
      <c r="K9" s="162">
        <v>1740.42</v>
      </c>
      <c r="L9" s="155">
        <v>29.02</v>
      </c>
      <c r="M9">
        <f t="shared" si="2"/>
        <v>3.445899379738112E-2</v>
      </c>
      <c r="N9">
        <f t="shared" si="3"/>
        <v>2866.520089593384</v>
      </c>
    </row>
    <row r="10" spans="2:14" x14ac:dyDescent="0.3">
      <c r="B10" s="163">
        <f t="shared" si="4"/>
        <v>8</v>
      </c>
      <c r="C10" s="159" t="s">
        <v>578</v>
      </c>
      <c r="D10" s="161">
        <v>2402.3000000000002</v>
      </c>
      <c r="E10" s="161">
        <v>27.2</v>
      </c>
      <c r="F10" s="161">
        <f t="shared" si="0"/>
        <v>65342.560000000005</v>
      </c>
      <c r="G10" s="161">
        <v>60.84</v>
      </c>
      <c r="H10" s="72">
        <f t="shared" si="1"/>
        <v>64308.270000000004</v>
      </c>
      <c r="I10" s="161">
        <v>1095.1300000000001</v>
      </c>
      <c r="J10" s="161">
        <v>6040.17</v>
      </c>
      <c r="K10" s="161">
        <v>1436.81</v>
      </c>
      <c r="L10" s="154">
        <v>30.67</v>
      </c>
      <c r="M10">
        <f t="shared" si="2"/>
        <v>3.2605151613955004E-2</v>
      </c>
      <c r="N10">
        <f t="shared" si="3"/>
        <v>2096.7808933811543</v>
      </c>
    </row>
    <row r="11" spans="2:14" x14ac:dyDescent="0.3">
      <c r="B11" s="163">
        <f t="shared" si="4"/>
        <v>9</v>
      </c>
      <c r="C11" s="160" t="s">
        <v>579</v>
      </c>
      <c r="D11" s="162">
        <v>1649.6</v>
      </c>
      <c r="E11" s="162">
        <v>36.25</v>
      </c>
      <c r="F11" s="161">
        <f t="shared" si="0"/>
        <v>59798</v>
      </c>
      <c r="G11" s="162">
        <v>787.68</v>
      </c>
      <c r="H11" s="72">
        <f t="shared" si="1"/>
        <v>60310.38</v>
      </c>
      <c r="I11" s="162">
        <v>275.3</v>
      </c>
      <c r="J11" s="162">
        <v>34156.97</v>
      </c>
      <c r="K11" s="162">
        <v>1301.3399999999999</v>
      </c>
      <c r="L11" s="155">
        <v>29.01</v>
      </c>
      <c r="M11">
        <f t="shared" si="2"/>
        <v>3.447087211306446E-2</v>
      </c>
      <c r="N11">
        <f t="shared" si="3"/>
        <v>2078.9513960703202</v>
      </c>
    </row>
    <row r="12" spans="2:14" x14ac:dyDescent="0.3">
      <c r="B12" s="163">
        <f t="shared" si="4"/>
        <v>10</v>
      </c>
      <c r="C12" s="159" t="s">
        <v>580</v>
      </c>
      <c r="D12" s="161">
        <v>1943.7</v>
      </c>
      <c r="E12" s="161">
        <v>26.44</v>
      </c>
      <c r="F12" s="161">
        <f t="shared" si="0"/>
        <v>51391.428000000007</v>
      </c>
      <c r="G12" s="161">
        <v>619.98</v>
      </c>
      <c r="H12" s="72">
        <f t="shared" si="1"/>
        <v>51568.528000000013</v>
      </c>
      <c r="I12" s="161">
        <v>442.88</v>
      </c>
      <c r="J12" s="161">
        <v>8915.09</v>
      </c>
      <c r="K12" s="161">
        <v>442.41</v>
      </c>
      <c r="L12" s="154">
        <v>58.82</v>
      </c>
      <c r="M12">
        <f t="shared" si="2"/>
        <v>1.7001020061203673E-2</v>
      </c>
      <c r="N12">
        <f t="shared" si="3"/>
        <v>876.71757905474351</v>
      </c>
    </row>
    <row r="13" spans="2:14" x14ac:dyDescent="0.3">
      <c r="B13" s="163">
        <f t="shared" si="4"/>
        <v>11</v>
      </c>
      <c r="C13" s="160" t="s">
        <v>581</v>
      </c>
      <c r="D13" s="162">
        <v>13415</v>
      </c>
      <c r="E13" s="162">
        <v>3.25</v>
      </c>
      <c r="F13" s="161">
        <f t="shared" si="0"/>
        <v>43598.75</v>
      </c>
      <c r="G13" s="162">
        <v>2.3199999999999998</v>
      </c>
      <c r="H13" s="72">
        <f t="shared" si="1"/>
        <v>43012.87</v>
      </c>
      <c r="I13" s="162">
        <v>588.20000000000005</v>
      </c>
      <c r="J13" s="162">
        <v>4306.17</v>
      </c>
      <c r="K13" s="162">
        <v>675.02</v>
      </c>
      <c r="L13" s="155">
        <v>41.65</v>
      </c>
      <c r="M13">
        <f t="shared" si="2"/>
        <v>2.4009603841536616E-2</v>
      </c>
      <c r="N13">
        <f t="shared" si="3"/>
        <v>1032.7219687875152</v>
      </c>
    </row>
    <row r="14" spans="2:14" x14ac:dyDescent="0.3">
      <c r="B14" s="163">
        <f t="shared" si="4"/>
        <v>12</v>
      </c>
      <c r="C14" s="159" t="s">
        <v>582</v>
      </c>
      <c r="D14" s="161">
        <v>8009</v>
      </c>
      <c r="E14" s="161">
        <v>5.2</v>
      </c>
      <c r="F14" s="161">
        <f t="shared" si="0"/>
        <v>41646.800000000003</v>
      </c>
      <c r="G14" s="161">
        <v>178.97</v>
      </c>
      <c r="H14" s="72">
        <f t="shared" si="1"/>
        <v>41795.460000000006</v>
      </c>
      <c r="I14" s="161">
        <v>30.31</v>
      </c>
      <c r="J14" s="161">
        <v>5611.02</v>
      </c>
      <c r="K14" s="161">
        <v>1072.31</v>
      </c>
      <c r="L14" s="154">
        <v>26.01</v>
      </c>
      <c r="M14">
        <f t="shared" si="2"/>
        <v>3.8446751249519413E-2</v>
      </c>
      <c r="N14">
        <f t="shared" si="3"/>
        <v>1606.8996539792388</v>
      </c>
    </row>
    <row r="15" spans="2:14" x14ac:dyDescent="0.3">
      <c r="B15" s="163">
        <f t="shared" si="4"/>
        <v>13</v>
      </c>
      <c r="C15" s="159" t="s">
        <v>572</v>
      </c>
      <c r="D15" s="161">
        <v>2306.1999999999998</v>
      </c>
      <c r="E15" s="161">
        <v>234.96</v>
      </c>
      <c r="F15" s="161">
        <f t="shared" si="0"/>
        <v>541864.75199999998</v>
      </c>
      <c r="G15" s="161">
        <v>1648</v>
      </c>
      <c r="H15" s="72">
        <f t="shared" si="1"/>
        <v>535958.75199999998</v>
      </c>
      <c r="I15" s="161">
        <v>7554</v>
      </c>
      <c r="J15" s="161">
        <v>63121</v>
      </c>
      <c r="K15" s="161">
        <v>10671</v>
      </c>
      <c r="L15" s="154">
        <v>33.79</v>
      </c>
      <c r="M15">
        <f t="shared" si="2"/>
        <v>2.9594554601953243E-2</v>
      </c>
      <c r="N15">
        <f t="shared" si="3"/>
        <v>15861.460550458716</v>
      </c>
    </row>
    <row r="16" spans="2:14" x14ac:dyDescent="0.3">
      <c r="B16" s="163">
        <f t="shared" si="4"/>
        <v>14</v>
      </c>
      <c r="C16" s="160" t="s">
        <v>573</v>
      </c>
      <c r="D16" s="162">
        <v>418.55</v>
      </c>
      <c r="E16" s="162">
        <v>1251.4100000000001</v>
      </c>
      <c r="F16" s="161">
        <f t="shared" si="0"/>
        <v>523777.65550000005</v>
      </c>
      <c r="G16" s="162">
        <v>284.54000000000002</v>
      </c>
      <c r="H16" s="72">
        <f t="shared" si="1"/>
        <v>520049.83550000004</v>
      </c>
      <c r="I16" s="162">
        <v>4012.36</v>
      </c>
      <c r="J16" s="162">
        <v>75323.34</v>
      </c>
      <c r="K16" s="162">
        <v>35052.480000000003</v>
      </c>
      <c r="L16" s="155">
        <v>18.170000000000002</v>
      </c>
      <c r="M16">
        <f t="shared" si="2"/>
        <v>5.5035773252614197E-2</v>
      </c>
      <c r="N16">
        <f t="shared" si="3"/>
        <v>28621.344826637316</v>
      </c>
    </row>
    <row r="17" spans="2:14" x14ac:dyDescent="0.3">
      <c r="B17" s="163">
        <f t="shared" si="4"/>
        <v>15</v>
      </c>
      <c r="C17" s="159" t="s">
        <v>574</v>
      </c>
      <c r="D17" s="161">
        <v>2360.4</v>
      </c>
      <c r="E17" s="161">
        <v>96.42</v>
      </c>
      <c r="F17" s="161">
        <f t="shared" si="0"/>
        <v>227589.76800000001</v>
      </c>
      <c r="G17" s="161">
        <v>1166.8499999999999</v>
      </c>
      <c r="H17" s="72">
        <f t="shared" si="1"/>
        <v>228660.96800000002</v>
      </c>
      <c r="I17" s="161">
        <v>95.65</v>
      </c>
      <c r="J17" s="161">
        <v>20201.560000000001</v>
      </c>
      <c r="K17" s="161">
        <v>3314.5</v>
      </c>
      <c r="L17" s="154">
        <v>47.34</v>
      </c>
      <c r="M17">
        <f t="shared" si="2"/>
        <v>2.1123785382340513E-2</v>
      </c>
      <c r="N17">
        <f t="shared" si="3"/>
        <v>4830.1852133502325</v>
      </c>
    </row>
  </sheetData>
  <hyperlinks>
    <hyperlink ref="B2" r:id="rId1" display="https://www.screener.in/market/IN04/IN0401/?order=asc" xr:uid="{7183ED20-AC55-4142-931E-D3418068A45B}"/>
    <hyperlink ref="C2" r:id="rId2" display="https://www.screener.in/market/IN04/IN0401/?sort=name&amp;order=desc" xr:uid="{F022E581-EB1E-47E4-BDD6-3BC1F4D640D2}"/>
    <hyperlink ref="D2" r:id="rId3" display="https://www.screener.in/market/IN04/IN0401/?sort=current+price&amp;order=desc" xr:uid="{F1F14D97-F873-4402-AAAC-F5F59AFCB5D4}"/>
    <hyperlink ref="G2" r:id="rId4" display="https://www.screener.in/market/IN04/IN0401/?sort=debt&amp;order=desc" xr:uid="{4752A924-9BB7-4326-BF2F-9B3ADDF5AE67}"/>
    <hyperlink ref="E2" r:id="rId5" display="https://www.screener.in/market/IN04/IN0401/?sort=number+of+equity+shares&amp;order=desc" xr:uid="{C7D99F98-C90C-416E-8D52-35F7D1C2FA7A}"/>
    <hyperlink ref="I2" r:id="rId6" display="https://www.screener.in/market/IN04/IN0401/?sort=cash+end+of+last+year&amp;order=desc" xr:uid="{E8679E1D-90D1-48C5-9D8A-7793F45D4503}"/>
    <hyperlink ref="J2" r:id="rId7" display="https://www.screener.in/market/IN04/IN0401/?sort=sales&amp;order=desc" xr:uid="{CF9F0CE6-18B7-4323-B117-3CD8556FBF1B}"/>
    <hyperlink ref="K2" r:id="rId8" display="https://www.screener.in/market/IN04/IN0401/?sort=net+profit+last+year&amp;order=desc" xr:uid="{8C2BEB51-DD1D-44E0-B9A7-6E3B860D4E8E}"/>
    <hyperlink ref="L2" r:id="rId9" display="https://www.screener.in/market/IN04/IN0401/?sort=evebitda&amp;order=desc" xr:uid="{F48DF782-8E29-43B9-B6CF-90CC25D5BA75}"/>
    <hyperlink ref="C15" r:id="rId10" display="https://www.screener.in/company/HINDUNILVR/consolidated/" xr:uid="{C28D4825-15A8-42EA-9852-58E0C1105722}"/>
    <hyperlink ref="C16" r:id="rId11" display="https://www.screener.in/company/ITC/consolidated/" xr:uid="{F56F361B-01E5-4724-AB27-7F1C893D8338}"/>
    <hyperlink ref="C17" r:id="rId12" display="https://www.screener.in/company/NESTLEIND/" xr:uid="{80270875-676B-4707-8B4B-5B805AE5CD90}"/>
    <hyperlink ref="C3" r:id="rId13" display="https://www.screener.in/company/VBL/consolidated/" xr:uid="{E75B25BB-3280-421B-9DE0-1CACDC07582C}"/>
    <hyperlink ref="C4" r:id="rId14" display="https://www.screener.in/company/BRITANNIA/consolidated/" xr:uid="{5FA2DEAF-78AC-4D3E-9BA3-17D574C7978D}"/>
    <hyperlink ref="C5" r:id="rId15" display="https://www.screener.in/company/GODREJCP/consolidated/" xr:uid="{C4BD94EF-D1E5-4F21-8F5E-3003DB70092C}"/>
    <hyperlink ref="C6" r:id="rId16" display="https://www.screener.in/company/TATACONSUM/consolidated/" xr:uid="{F85EA8EE-443D-47F3-A770-C966FC4A8C14}"/>
    <hyperlink ref="C7" r:id="rId17" display="https://www.screener.in/company/UNITDSPR/consolidated/" xr:uid="{C832A8CB-F5D3-46E4-951D-DD2D7C794F19}"/>
    <hyperlink ref="C8" r:id="rId18" display="https://www.screener.in/company/MARICO/consolidated/" xr:uid="{C4B3D5C5-B344-428E-A023-E89CBE26DEB7}"/>
    <hyperlink ref="C9" r:id="rId19" display="https://www.screener.in/company/DABUR/consolidated/" xr:uid="{2A48FC0E-81DC-421B-8CF9-12DBAAAF3F8E}"/>
    <hyperlink ref="C10" r:id="rId20" display="https://www.screener.in/company/COLPAL/" xr:uid="{F3550BA7-D193-49E5-BB55-4CB841AE9837}"/>
    <hyperlink ref="C11" r:id="rId21" display="https://www.screener.in/company/PATANJALI/" xr:uid="{2CC6CD4C-83EB-4616-A62C-D26B573D09CA}"/>
    <hyperlink ref="C12" r:id="rId22" display="https://www.screener.in/company/UBL/consolidated/" xr:uid="{737F7E9B-EC75-4477-A0F7-77ED45236B5E}"/>
    <hyperlink ref="C13" r:id="rId23" display="https://www.screener.in/company/PGHH/" xr:uid="{805D6619-E4DB-4EF4-B5FE-CE4D6B3C8948}"/>
    <hyperlink ref="C14" r:id="rId24" display="https://www.screener.in/company/GODFRYPHLP/consolidated/" xr:uid="{697E6FFD-79AE-4251-ACFD-2EC5FA717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Financials &gt;</vt:lpstr>
      <vt:lpstr>Historical_FS</vt:lpstr>
      <vt:lpstr>Analysis &gt;</vt:lpstr>
      <vt:lpstr>Ratio Analysis</vt:lpstr>
      <vt:lpstr>Dupont Analysis</vt:lpstr>
      <vt:lpstr>Football Field Analysis</vt:lpstr>
      <vt:lpstr>Altmans Z Score</vt:lpstr>
      <vt:lpstr>DCF &gt;</vt:lpstr>
      <vt:lpstr>DCF</vt:lpstr>
      <vt:lpstr>Forecast</vt:lpstr>
      <vt:lpstr>Intrinsic Growth</vt:lpstr>
      <vt:lpstr>Relative Valuation &gt;</vt:lpstr>
      <vt:lpstr>Relative Valuation</vt:lpstr>
      <vt:lpstr>WACC &gt;</vt:lpstr>
      <vt:lpstr>WACC Model</vt:lpstr>
      <vt:lpstr>Beta</vt:lpstr>
      <vt:lpstr>RM</vt:lpstr>
      <vt:lpstr>Data &gt;</vt:lpstr>
      <vt:lpstr>Data Sheet</vt:lpstr>
      <vt:lpstr>RAW CFS</vt:lpstr>
      <vt:lpstr>Breakup of Other Liabilities</vt:lpstr>
      <vt:lpstr>WACC Data</vt:lpstr>
      <vt:lpstr>RAW BS</vt:lpstr>
      <vt:lpstr>PeerComps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Akhil James</cp:lastModifiedBy>
  <cp:lastPrinted>2025-06-20T12:22:11Z</cp:lastPrinted>
  <dcterms:created xsi:type="dcterms:W3CDTF">2012-08-17T09:55:37Z</dcterms:created>
  <dcterms:modified xsi:type="dcterms:W3CDTF">2025-06-25T15:30:55Z</dcterms:modified>
</cp:coreProperties>
</file>