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"/>
    </mc:Choice>
  </mc:AlternateContent>
  <xr:revisionPtr revIDLastSave="0" documentId="13_ncr:1_{A3316413-5215-4F47-AAD2-E1AD3176F45B}" xr6:coauthVersionLast="47" xr6:coauthVersionMax="47" xr10:uidLastSave="{00000000-0000-0000-0000-000000000000}"/>
  <bookViews>
    <workbookView xWindow="-120" yWindow="-120" windowWidth="29040" windowHeight="15720" activeTab="2" xr2:uid="{228A216E-B304-4FB9-B70F-5A8AD22FC1DC}"/>
  </bookViews>
  <sheets>
    <sheet name="Binomial 5-Steps Calculator" sheetId="1" r:id="rId1"/>
    <sheet name="Black-Scholes European" sheetId="3" r:id="rId2"/>
    <sheet name="Modified Black-Scholes" sheetId="4" r:id="rId3"/>
    <sheet name="Formulas &amp; Templates" sheetId="2" r:id="rId4"/>
  </sheets>
  <definedNames>
    <definedName name="N0">'Binomial 5-Steps Calculator'!$E$21</definedName>
    <definedName name="P0">'Binomial 5-Steps Calculator'!$E$21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4" l="1"/>
  <c r="K11" i="4"/>
  <c r="F11" i="4"/>
  <c r="F14" i="4" a="1"/>
  <c r="B246" i="4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C244" i="4"/>
  <c r="F202" i="4"/>
  <c r="C202" i="4"/>
  <c r="B189" i="4"/>
  <c r="B190" i="4" s="1"/>
  <c r="B191" i="4" s="1"/>
  <c r="B192" i="4" s="1"/>
  <c r="B193" i="4" s="1"/>
  <c r="B194" i="4" s="1"/>
  <c r="B195" i="4" s="1"/>
  <c r="B196" i="4" s="1"/>
  <c r="B197" i="4" s="1"/>
  <c r="B198" i="4" s="1"/>
  <c r="C173" i="4"/>
  <c r="C188" i="4" s="1"/>
  <c r="B174" i="4"/>
  <c r="B175" i="4" s="1"/>
  <c r="B176" i="4" s="1"/>
  <c r="B177" i="4" s="1"/>
  <c r="B178" i="4" s="1"/>
  <c r="B179" i="4" s="1"/>
  <c r="B180" i="4" s="1"/>
  <c r="B181" i="4" s="1"/>
  <c r="B182" i="4" s="1"/>
  <c r="B183" i="4" s="1"/>
  <c r="F117" i="4"/>
  <c r="E117" i="4"/>
  <c r="D117" i="4"/>
  <c r="C117" i="4"/>
  <c r="F78" i="4"/>
  <c r="E78" i="4"/>
  <c r="D78" i="4"/>
  <c r="C78" i="4"/>
  <c r="C46" i="4"/>
  <c r="C47" i="4" s="1"/>
  <c r="C48" i="4" s="1"/>
  <c r="C49" i="4" s="1"/>
  <c r="C50" i="4" s="1"/>
  <c r="C51" i="4" s="1"/>
  <c r="B47" i="4"/>
  <c r="B48" i="4" s="1"/>
  <c r="B49" i="4" s="1"/>
  <c r="B50" i="4" s="1"/>
  <c r="B51" i="4" s="1"/>
  <c r="C11" i="4"/>
  <c r="C12" i="4" s="1"/>
  <c r="H12" i="4" s="1"/>
  <c r="J8" i="3"/>
  <c r="B91" i="3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L6" i="3"/>
  <c r="L5" i="3"/>
  <c r="G13" i="3"/>
  <c r="G14" i="3"/>
  <c r="G11" i="3"/>
  <c r="G10" i="3"/>
  <c r="I8" i="3"/>
  <c r="H8" i="3"/>
  <c r="K90" i="3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G91" i="3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F71" i="3"/>
  <c r="F70" i="3"/>
  <c r="F69" i="3"/>
  <c r="F68" i="3"/>
  <c r="K39" i="3"/>
  <c r="H39" i="3"/>
  <c r="C10" i="3"/>
  <c r="C11" i="3" s="1"/>
  <c r="C36" i="3"/>
  <c r="C37" i="3" s="1"/>
  <c r="B3" i="1" a="1"/>
  <c r="E10" i="1"/>
  <c r="H26" i="1"/>
  <c r="C15" i="4" l="1"/>
  <c r="C105" i="4"/>
  <c r="E46" i="4"/>
  <c r="E47" i="4"/>
  <c r="E48" i="4"/>
  <c r="E49" i="4"/>
  <c r="E50" i="4"/>
  <c r="E51" i="4"/>
  <c r="D47" i="4"/>
  <c r="D48" i="4"/>
  <c r="D49" i="4"/>
  <c r="D50" i="4"/>
  <c r="D51" i="4"/>
  <c r="D46" i="4"/>
  <c r="L7" i="3"/>
  <c r="E11" i="1"/>
  <c r="C11" i="1" s="1"/>
  <c r="C106" i="4" l="1"/>
  <c r="C131" i="4"/>
  <c r="C61" i="4"/>
  <c r="F50" i="4"/>
  <c r="F49" i="4"/>
  <c r="F47" i="4"/>
  <c r="F48" i="4"/>
  <c r="F51" i="4"/>
  <c r="F46" i="4"/>
  <c r="C38" i="3"/>
  <c r="C74" i="3"/>
  <c r="C75" i="3" s="1"/>
  <c r="C76" i="3" s="1"/>
  <c r="C80" i="3" s="1"/>
  <c r="E7" i="1"/>
  <c r="E6" i="1"/>
  <c r="D122" i="4" l="1"/>
  <c r="G79" i="4"/>
  <c r="G80" i="4"/>
  <c r="G81" i="4"/>
  <c r="G82" i="4"/>
  <c r="G83" i="4"/>
  <c r="G84" i="4"/>
  <c r="C63" i="4"/>
  <c r="C62" i="4"/>
  <c r="J45" i="4"/>
  <c r="J46" i="4" s="1"/>
  <c r="C39" i="3"/>
  <c r="C40" i="3" s="1"/>
  <c r="C43" i="3" s="1"/>
  <c r="C41" i="3"/>
  <c r="C42" i="3" s="1"/>
  <c r="C79" i="3"/>
  <c r="F75" i="3" s="1"/>
  <c r="F81" i="3" s="1"/>
  <c r="C77" i="3"/>
  <c r="C81" i="3"/>
  <c r="C78" i="3"/>
  <c r="C82" i="3"/>
  <c r="M24" i="1"/>
  <c r="I30" i="1"/>
  <c r="K33" i="1"/>
  <c r="M36" i="1"/>
  <c r="M30" i="1"/>
  <c r="O27" i="1"/>
  <c r="K27" i="1"/>
  <c r="O33" i="1"/>
  <c r="E8" i="1"/>
  <c r="O21" i="1"/>
  <c r="M18" i="1"/>
  <c r="O15" i="1"/>
  <c r="K15" i="1"/>
  <c r="M12" i="1"/>
  <c r="I24" i="1"/>
  <c r="O9" i="1"/>
  <c r="O39" i="1"/>
  <c r="G27" i="1"/>
  <c r="K21" i="1"/>
  <c r="E24" i="1"/>
  <c r="G21" i="1"/>
  <c r="I18" i="1"/>
  <c r="D87" i="4" l="1"/>
  <c r="C132" i="4"/>
  <c r="G147" i="4" s="1"/>
  <c r="C129" i="4"/>
  <c r="F135" i="4"/>
  <c r="C128" i="4"/>
  <c r="B224" i="4" s="1"/>
  <c r="F130" i="4"/>
  <c r="C59" i="4"/>
  <c r="C60" i="4" s="1"/>
  <c r="C49" i="3"/>
  <c r="C45" i="3"/>
  <c r="C56" i="3" s="1"/>
  <c r="H10" i="3" s="1"/>
  <c r="C44" i="3"/>
  <c r="C47" i="3"/>
  <c r="F74" i="3"/>
  <c r="F80" i="3" s="1"/>
  <c r="F82" i="3" s="1"/>
  <c r="O154" i="1"/>
  <c r="O192" i="1"/>
  <c r="O148" i="1"/>
  <c r="O186" i="1"/>
  <c r="O142" i="1"/>
  <c r="O180" i="1"/>
  <c r="O136" i="1"/>
  <c r="O174" i="1"/>
  <c r="O130" i="1"/>
  <c r="O168" i="1"/>
  <c r="O124" i="1"/>
  <c r="O162" i="1"/>
  <c r="E9" i="1"/>
  <c r="O66" i="1"/>
  <c r="O104" i="1"/>
  <c r="O72" i="1"/>
  <c r="O110" i="1"/>
  <c r="O86" i="1"/>
  <c r="O48" i="1"/>
  <c r="O60" i="1"/>
  <c r="O98" i="1"/>
  <c r="O92" i="1"/>
  <c r="O54" i="1"/>
  <c r="O78" i="1"/>
  <c r="O116" i="1"/>
  <c r="B225" i="4" l="1"/>
  <c r="C130" i="4"/>
  <c r="D222" i="4"/>
  <c r="F204" i="4"/>
  <c r="C204" i="4"/>
  <c r="D188" i="4"/>
  <c r="F188" i="4" s="1"/>
  <c r="E188" i="4"/>
  <c r="D173" i="4"/>
  <c r="E173" i="4"/>
  <c r="C133" i="4"/>
  <c r="C107" i="4"/>
  <c r="C108" i="4" s="1"/>
  <c r="C91" i="4"/>
  <c r="C64" i="4"/>
  <c r="I57" i="3"/>
  <c r="H57" i="3"/>
  <c r="C57" i="3"/>
  <c r="C60" i="3"/>
  <c r="H56" i="3"/>
  <c r="I56" i="3"/>
  <c r="D60" i="3"/>
  <c r="D57" i="3"/>
  <c r="I11" i="3" s="1"/>
  <c r="C62" i="3"/>
  <c r="D56" i="3"/>
  <c r="C48" i="3"/>
  <c r="D61" i="3" s="1"/>
  <c r="I14" i="3" s="1"/>
  <c r="C46" i="3"/>
  <c r="C50" i="3"/>
  <c r="D62" i="3"/>
  <c r="M176" i="1"/>
  <c r="M170" i="1"/>
  <c r="M188" i="1"/>
  <c r="M182" i="1"/>
  <c r="M164" i="1"/>
  <c r="M189" i="1"/>
  <c r="M183" i="1"/>
  <c r="M177" i="1"/>
  <c r="M171" i="1"/>
  <c r="M165" i="1"/>
  <c r="M138" i="1"/>
  <c r="M150" i="1"/>
  <c r="M144" i="1"/>
  <c r="M126" i="1"/>
  <c r="M132" i="1"/>
  <c r="M145" i="1"/>
  <c r="M151" i="1"/>
  <c r="M133" i="1"/>
  <c r="M139" i="1"/>
  <c r="M127" i="1"/>
  <c r="O14" i="1"/>
  <c r="O16" i="1" s="1"/>
  <c r="M17" i="1"/>
  <c r="M19" i="1" s="1"/>
  <c r="K20" i="1"/>
  <c r="K22" i="1" s="1"/>
  <c r="G26" i="1"/>
  <c r="G28" i="1" s="1"/>
  <c r="O38" i="1"/>
  <c r="O40" i="1" s="1"/>
  <c r="I17" i="1"/>
  <c r="I19" i="1" s="1"/>
  <c r="K14" i="1"/>
  <c r="K16" i="1" s="1"/>
  <c r="I23" i="1"/>
  <c r="I25" i="1" s="1"/>
  <c r="I29" i="1"/>
  <c r="I31" i="1" s="1"/>
  <c r="M35" i="1"/>
  <c r="M37" i="1" s="1"/>
  <c r="M11" i="1"/>
  <c r="M13" i="1" s="1"/>
  <c r="G20" i="1"/>
  <c r="G22" i="1" s="1"/>
  <c r="O8" i="1"/>
  <c r="O10" i="1" s="1"/>
  <c r="K26" i="1"/>
  <c r="K28" i="1" s="1"/>
  <c r="M23" i="1"/>
  <c r="M25" i="1" s="1"/>
  <c r="O20" i="1"/>
  <c r="O22" i="1" s="1"/>
  <c r="K32" i="1"/>
  <c r="K34" i="1" s="1"/>
  <c r="O32" i="1"/>
  <c r="O34" i="1" s="1"/>
  <c r="M29" i="1"/>
  <c r="M31" i="1" s="1"/>
  <c r="O26" i="1"/>
  <c r="O28" i="1" s="1"/>
  <c r="M69" i="1"/>
  <c r="M106" i="1"/>
  <c r="M113" i="1"/>
  <c r="M68" i="1"/>
  <c r="M107" i="1"/>
  <c r="M112" i="1"/>
  <c r="M89" i="1"/>
  <c r="M88" i="1"/>
  <c r="M62" i="1"/>
  <c r="M63" i="1"/>
  <c r="M94" i="1"/>
  <c r="M100" i="1"/>
  <c r="M101" i="1"/>
  <c r="M95" i="1"/>
  <c r="M56" i="1"/>
  <c r="M50" i="1"/>
  <c r="M57" i="1"/>
  <c r="M51" i="1"/>
  <c r="M74" i="1"/>
  <c r="M75" i="1"/>
  <c r="E222" i="4" l="1"/>
  <c r="D244" i="4"/>
  <c r="B226" i="4"/>
  <c r="C189" i="4"/>
  <c r="F173" i="4"/>
  <c r="C174" i="4" s="1"/>
  <c r="C139" i="4"/>
  <c r="C134" i="4"/>
  <c r="C135" i="4"/>
  <c r="C137" i="4"/>
  <c r="C111" i="4"/>
  <c r="C109" i="4"/>
  <c r="C95" i="4"/>
  <c r="C92" i="4"/>
  <c r="C65" i="4"/>
  <c r="C66" i="4"/>
  <c r="C93" i="4"/>
  <c r="C68" i="4"/>
  <c r="C70" i="4"/>
  <c r="H11" i="3"/>
  <c r="H61" i="3"/>
  <c r="I61" i="3"/>
  <c r="H59" i="3"/>
  <c r="I59" i="3"/>
  <c r="H58" i="3"/>
  <c r="I58" i="3"/>
  <c r="H13" i="3"/>
  <c r="H60" i="3"/>
  <c r="H62" i="3"/>
  <c r="I62" i="3"/>
  <c r="I13" i="3"/>
  <c r="I60" i="3"/>
  <c r="I10" i="3"/>
  <c r="K44" i="3"/>
  <c r="D58" i="3"/>
  <c r="D59" i="3" s="1"/>
  <c r="K36" i="3"/>
  <c r="C61" i="3"/>
  <c r="H14" i="3" s="1"/>
  <c r="C58" i="3"/>
  <c r="C59" i="3" s="1"/>
  <c r="H44" i="3"/>
  <c r="H36" i="3"/>
  <c r="K175" i="1"/>
  <c r="K169" i="1"/>
  <c r="K173" i="1"/>
  <c r="K181" i="1"/>
  <c r="K187" i="1"/>
  <c r="K149" i="1"/>
  <c r="K179" i="1"/>
  <c r="K186" i="1"/>
  <c r="K185" i="1"/>
  <c r="K167" i="1"/>
  <c r="K168" i="1"/>
  <c r="K180" i="1"/>
  <c r="K174" i="1"/>
  <c r="K143" i="1"/>
  <c r="K137" i="1"/>
  <c r="K131" i="1"/>
  <c r="K147" i="1"/>
  <c r="K141" i="1"/>
  <c r="K129" i="1"/>
  <c r="K135" i="1"/>
  <c r="K136" i="1"/>
  <c r="K142" i="1"/>
  <c r="K130" i="1"/>
  <c r="K148" i="1"/>
  <c r="K105" i="1"/>
  <c r="K73" i="1"/>
  <c r="K111" i="1"/>
  <c r="K109" i="1"/>
  <c r="K110" i="1"/>
  <c r="K91" i="1"/>
  <c r="K55" i="1"/>
  <c r="K92" i="1"/>
  <c r="K53" i="1"/>
  <c r="K54" i="1"/>
  <c r="K71" i="1"/>
  <c r="K72" i="1"/>
  <c r="K61" i="1"/>
  <c r="K67" i="1"/>
  <c r="K66" i="1"/>
  <c r="K59" i="1"/>
  <c r="K65" i="1"/>
  <c r="K60" i="1"/>
  <c r="K93" i="1"/>
  <c r="K99" i="1"/>
  <c r="K103" i="1"/>
  <c r="K97" i="1"/>
  <c r="K104" i="1"/>
  <c r="K98" i="1"/>
  <c r="E244" i="4" l="1"/>
  <c r="F222" i="4"/>
  <c r="B227" i="4"/>
  <c r="F212" i="4"/>
  <c r="F211" i="4"/>
  <c r="D163" i="4"/>
  <c r="D189" i="4"/>
  <c r="F189" i="4" s="1"/>
  <c r="E189" i="4"/>
  <c r="D174" i="4"/>
  <c r="F174" i="4" s="1"/>
  <c r="E174" i="4"/>
  <c r="C163" i="4"/>
  <c r="C158" i="4"/>
  <c r="C159" i="4"/>
  <c r="D159" i="4"/>
  <c r="C161" i="4"/>
  <c r="D161" i="4"/>
  <c r="C140" i="4"/>
  <c r="C136" i="4"/>
  <c r="C138" i="4"/>
  <c r="C110" i="4"/>
  <c r="C112" i="4"/>
  <c r="F106" i="4" s="1"/>
  <c r="C71" i="4"/>
  <c r="C67" i="4"/>
  <c r="F59" i="4" s="1"/>
  <c r="C69" i="4"/>
  <c r="F61" i="4" s="1"/>
  <c r="C94" i="4"/>
  <c r="C96" i="4"/>
  <c r="F92" i="4" s="1"/>
  <c r="I12" i="3"/>
  <c r="I75" i="3"/>
  <c r="K37" i="3"/>
  <c r="I6" i="3" s="1"/>
  <c r="K40" i="3"/>
  <c r="M56" i="3"/>
  <c r="M58" i="3" s="1"/>
  <c r="L89" i="3"/>
  <c r="H5" i="3"/>
  <c r="C89" i="3"/>
  <c r="H89" i="3"/>
  <c r="H48" i="3"/>
  <c r="F78" i="3"/>
  <c r="K45" i="3"/>
  <c r="K48" i="3"/>
  <c r="I89" i="3"/>
  <c r="D89" i="3"/>
  <c r="I5" i="3"/>
  <c r="M89" i="3"/>
  <c r="H40" i="3"/>
  <c r="M55" i="3"/>
  <c r="M57" i="3" s="1"/>
  <c r="F77" i="3"/>
  <c r="H45" i="3"/>
  <c r="H37" i="3"/>
  <c r="H6" i="3" s="1"/>
  <c r="I74" i="3"/>
  <c r="H12" i="3"/>
  <c r="I172" i="1"/>
  <c r="I178" i="1"/>
  <c r="I184" i="1"/>
  <c r="I176" i="1"/>
  <c r="I183" i="1"/>
  <c r="I182" i="1"/>
  <c r="I170" i="1"/>
  <c r="I171" i="1"/>
  <c r="I177" i="1"/>
  <c r="I146" i="1"/>
  <c r="I140" i="1"/>
  <c r="I134" i="1"/>
  <c r="I132" i="1"/>
  <c r="I138" i="1"/>
  <c r="I144" i="1"/>
  <c r="I133" i="1"/>
  <c r="I145" i="1"/>
  <c r="I139" i="1"/>
  <c r="I108" i="1"/>
  <c r="I56" i="1"/>
  <c r="I62" i="1"/>
  <c r="I58" i="1"/>
  <c r="I70" i="1"/>
  <c r="I102" i="1"/>
  <c r="I96" i="1"/>
  <c r="I64" i="1"/>
  <c r="I68" i="1"/>
  <c r="I69" i="1"/>
  <c r="I57" i="1"/>
  <c r="I63" i="1"/>
  <c r="I106" i="1"/>
  <c r="I107" i="1"/>
  <c r="I94" i="1"/>
  <c r="I100" i="1"/>
  <c r="I101" i="1"/>
  <c r="I95" i="1"/>
  <c r="F244" i="4" l="1"/>
  <c r="G222" i="4"/>
  <c r="B228" i="4"/>
  <c r="C212" i="4"/>
  <c r="F214" i="4" s="1"/>
  <c r="F133" i="4"/>
  <c r="J6" i="4" s="1"/>
  <c r="F128" i="4"/>
  <c r="E6" i="4" s="1"/>
  <c r="C211" i="4"/>
  <c r="C214" i="4" s="1"/>
  <c r="C190" i="4"/>
  <c r="E190" i="4" s="1"/>
  <c r="C175" i="4"/>
  <c r="D158" i="4"/>
  <c r="D162" i="4"/>
  <c r="D160" i="4"/>
  <c r="C160" i="4"/>
  <c r="C162" i="4"/>
  <c r="D146" i="4"/>
  <c r="L8" i="3"/>
  <c r="K49" i="3"/>
  <c r="H49" i="3"/>
  <c r="D150" i="4"/>
  <c r="F109" i="4"/>
  <c r="F105" i="4"/>
  <c r="F95" i="4"/>
  <c r="F91" i="4"/>
  <c r="F94" i="4" s="1"/>
  <c r="F65" i="4"/>
  <c r="F62" i="4"/>
  <c r="F60" i="4"/>
  <c r="F64" i="4"/>
  <c r="H46" i="3"/>
  <c r="H7" i="3"/>
  <c r="I77" i="3"/>
  <c r="I79" i="3" s="1"/>
  <c r="I78" i="3"/>
  <c r="I80" i="3" s="1"/>
  <c r="I7" i="3"/>
  <c r="K46" i="3"/>
  <c r="G175" i="1"/>
  <c r="G181" i="1"/>
  <c r="G173" i="1"/>
  <c r="G180" i="1"/>
  <c r="G179" i="1"/>
  <c r="G174" i="1"/>
  <c r="G143" i="1"/>
  <c r="G137" i="1"/>
  <c r="G135" i="1"/>
  <c r="G141" i="1"/>
  <c r="G136" i="1"/>
  <c r="G142" i="1"/>
  <c r="G105" i="1"/>
  <c r="G61" i="1"/>
  <c r="G67" i="1"/>
  <c r="G59" i="1"/>
  <c r="G99" i="1"/>
  <c r="G60" i="1"/>
  <c r="G66" i="1"/>
  <c r="G65" i="1"/>
  <c r="G103" i="1"/>
  <c r="G104" i="1"/>
  <c r="G97" i="1"/>
  <c r="G98" i="1"/>
  <c r="F16" i="4" l="1" a="1"/>
  <c r="K8" i="4" s="1"/>
  <c r="F15" i="4" a="1"/>
  <c r="G244" i="4"/>
  <c r="H222" i="4"/>
  <c r="B229" i="4"/>
  <c r="G151" i="4"/>
  <c r="B244" i="4"/>
  <c r="G150" i="4"/>
  <c r="B222" i="4"/>
  <c r="C215" i="4"/>
  <c r="F215" i="4"/>
  <c r="D190" i="4"/>
  <c r="F190" i="4" s="1"/>
  <c r="C191" i="4" s="1"/>
  <c r="E175" i="4"/>
  <c r="D175" i="4"/>
  <c r="F175" i="4" s="1"/>
  <c r="G161" i="4"/>
  <c r="G162" i="4" s="1"/>
  <c r="K12" i="4" s="1"/>
  <c r="G158" i="4"/>
  <c r="G159" i="4" s="1"/>
  <c r="F12" i="4" s="1"/>
  <c r="D147" i="4"/>
  <c r="G146" i="4"/>
  <c r="G148" i="4" s="1"/>
  <c r="D151" i="4"/>
  <c r="F136" i="4"/>
  <c r="F134" i="4"/>
  <c r="F129" i="4"/>
  <c r="F131" i="4"/>
  <c r="F108" i="4"/>
  <c r="E178" i="1"/>
  <c r="J7" i="1" s="1"/>
  <c r="E177" i="1"/>
  <c r="E176" i="1"/>
  <c r="I7" i="1" s="1"/>
  <c r="E140" i="1"/>
  <c r="J6" i="1" s="1"/>
  <c r="E139" i="1"/>
  <c r="E138" i="1"/>
  <c r="I6" i="1" s="1"/>
  <c r="E64" i="1"/>
  <c r="J9" i="1" s="1"/>
  <c r="E62" i="1"/>
  <c r="I9" i="1" s="1"/>
  <c r="E63" i="1"/>
  <c r="E102" i="1"/>
  <c r="J10" i="1" s="1"/>
  <c r="E100" i="1"/>
  <c r="I10" i="1" s="1"/>
  <c r="E101" i="1"/>
  <c r="H6" i="4" l="1"/>
  <c r="D152" i="4"/>
  <c r="K10" i="4" s="1"/>
  <c r="K9" i="4"/>
  <c r="F8" i="4"/>
  <c r="D148" i="4"/>
  <c r="F10" i="4" s="1"/>
  <c r="F9" i="4"/>
  <c r="H244" i="4"/>
  <c r="I222" i="4"/>
  <c r="G152" i="4"/>
  <c r="B230" i="4"/>
  <c r="C176" i="4"/>
  <c r="D191" i="4"/>
  <c r="F191" i="4" s="1"/>
  <c r="E191" i="4"/>
  <c r="E181" i="1"/>
  <c r="E182" i="1" s="1"/>
  <c r="K7" i="1" s="1"/>
  <c r="H7" i="1"/>
  <c r="E143" i="1"/>
  <c r="E144" i="1" s="1"/>
  <c r="K6" i="1" s="1"/>
  <c r="H6" i="1"/>
  <c r="E105" i="1"/>
  <c r="E106" i="1" s="1"/>
  <c r="K10" i="1" s="1"/>
  <c r="H10" i="1"/>
  <c r="E67" i="1"/>
  <c r="E68" i="1" s="1"/>
  <c r="K9" i="1" s="1"/>
  <c r="H9" i="1"/>
  <c r="I244" i="4" l="1"/>
  <c r="J222" i="4"/>
  <c r="B231" i="4"/>
  <c r="B232" i="4" s="1"/>
  <c r="B233" i="4" s="1"/>
  <c r="B234" i="4" s="1"/>
  <c r="B235" i="4" s="1"/>
  <c r="B236" i="4" s="1"/>
  <c r="B237" i="4" s="1"/>
  <c r="B238" i="4" s="1"/>
  <c r="B239" i="4" s="1"/>
  <c r="B240" i="4" s="1"/>
  <c r="C192" i="4"/>
  <c r="D176" i="4"/>
  <c r="F176" i="4" s="1"/>
  <c r="E176" i="4"/>
  <c r="J244" i="4" l="1"/>
  <c r="K222" i="4"/>
  <c r="K244" i="4" s="1"/>
  <c r="C177" i="4"/>
  <c r="D192" i="4"/>
  <c r="F192" i="4" s="1"/>
  <c r="E192" i="4"/>
  <c r="C193" i="4" l="1"/>
  <c r="E177" i="4"/>
  <c r="D177" i="4"/>
  <c r="F177" i="4" s="1"/>
  <c r="C178" i="4" l="1"/>
  <c r="E193" i="4"/>
  <c r="D193" i="4"/>
  <c r="F193" i="4" s="1"/>
  <c r="C194" i="4" l="1"/>
  <c r="E178" i="4"/>
  <c r="D178" i="4"/>
  <c r="F178" i="4" s="1"/>
  <c r="C179" i="4" l="1"/>
  <c r="E194" i="4"/>
  <c r="D194" i="4"/>
  <c r="F194" i="4" s="1"/>
  <c r="C195" i="4" l="1"/>
  <c r="D195" i="4" s="1"/>
  <c r="F195" i="4" s="1"/>
  <c r="D179" i="4"/>
  <c r="F179" i="4" s="1"/>
  <c r="E179" i="4"/>
  <c r="C180" i="4" l="1"/>
  <c r="E195" i="4"/>
  <c r="C196" i="4" s="1"/>
  <c r="E196" i="4" l="1"/>
  <c r="D196" i="4"/>
  <c r="F196" i="4" s="1"/>
  <c r="E180" i="4"/>
  <c r="D180" i="4"/>
  <c r="F180" i="4" s="1"/>
  <c r="C197" i="4" l="1"/>
  <c r="C181" i="4"/>
  <c r="E197" i="4" l="1"/>
  <c r="D197" i="4"/>
  <c r="F197" i="4" s="1"/>
  <c r="E181" i="4"/>
  <c r="D181" i="4"/>
  <c r="F181" i="4" s="1"/>
  <c r="C198" i="4" l="1"/>
  <c r="C182" i="4"/>
  <c r="F169" i="4" l="1"/>
  <c r="G203" i="4" s="1"/>
  <c r="D198" i="4"/>
  <c r="F198" i="4" s="1"/>
  <c r="E198" i="4"/>
  <c r="D182" i="4"/>
  <c r="F182" i="4" s="1"/>
  <c r="E182" i="4"/>
  <c r="G169" i="4" l="1"/>
  <c r="C183" i="4"/>
  <c r="E183" i="4" l="1"/>
  <c r="F168" i="4"/>
  <c r="D203" i="4" s="1"/>
  <c r="D183" i="4"/>
  <c r="F183" i="4" s="1"/>
  <c r="G168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0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cellMetadata count="1">
    <bk>
      <rc t="1" v="0"/>
    </bk>
  </cellMetadata>
  <valueMetadata count="3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</valueMetadata>
</metadata>
</file>

<file path=xl/sharedStrings.xml><?xml version="1.0" encoding="utf-8"?>
<sst xmlns="http://schemas.openxmlformats.org/spreadsheetml/2006/main" count="326" uniqueCount="211">
  <si>
    <t>Call</t>
  </si>
  <si>
    <t>θ (annual)</t>
  </si>
  <si>
    <t>θ (daily)</t>
  </si>
  <si>
    <t>Price</t>
  </si>
  <si>
    <t>Delta</t>
  </si>
  <si>
    <t>Gamma</t>
  </si>
  <si>
    <t>Theta</t>
  </si>
  <si>
    <t>Put</t>
  </si>
  <si>
    <t xml:space="preserve">   </t>
  </si>
  <si>
    <t xml:space="preserve">     </t>
  </si>
  <si>
    <t xml:space="preserve">       </t>
  </si>
  <si>
    <t>Risk-Free Rate (r)</t>
  </si>
  <si>
    <t>Stock Price (S)</t>
  </si>
  <si>
    <t>Strike Price (X)</t>
  </si>
  <si>
    <t>Expiration Date</t>
  </si>
  <si>
    <t>Volatility</t>
  </si>
  <si>
    <t>Dividend Yield (q)</t>
  </si>
  <si>
    <t>Valuation Day</t>
  </si>
  <si>
    <t>Call Price</t>
  </si>
  <si>
    <t>Put Price</t>
  </si>
  <si>
    <t>Contract Multiplier</t>
  </si>
  <si>
    <t>Call Contract Value</t>
  </si>
  <si>
    <t>Put Contract Value</t>
  </si>
  <si>
    <t>Call Intrisic Value</t>
  </si>
  <si>
    <t>Intrisic Value</t>
  </si>
  <si>
    <t>Call Extrinsic Value</t>
  </si>
  <si>
    <t>Put Extrinsic Value</t>
  </si>
  <si>
    <t>Risk-Neutral Probabilities</t>
  </si>
  <si>
    <t>Put Probability of Finishing ITM</t>
  </si>
  <si>
    <t>Breakeven</t>
  </si>
  <si>
    <t>Probability of Profit</t>
  </si>
  <si>
    <t>Probability of Finishing ITM</t>
  </si>
  <si>
    <t>Vega</t>
  </si>
  <si>
    <t>Rho</t>
  </si>
  <si>
    <t>Phi</t>
  </si>
  <si>
    <t>Theta (Daily)</t>
  </si>
  <si>
    <t>Greeks</t>
  </si>
  <si>
    <t>Vanna</t>
  </si>
  <si>
    <t>Charm</t>
  </si>
  <si>
    <t>Speed</t>
  </si>
  <si>
    <t>Color</t>
  </si>
  <si>
    <t>Volga (Vomma)</t>
  </si>
  <si>
    <t>Zomma</t>
  </si>
  <si>
    <t>Vega Decay</t>
  </si>
  <si>
    <t>Call Elasticity</t>
  </si>
  <si>
    <t>Put Elasticity</t>
  </si>
  <si>
    <t>Absolute Leverage Call</t>
  </si>
  <si>
    <t>Absolute Leverage Put</t>
  </si>
  <si>
    <t>New Stock Price</t>
  </si>
  <si>
    <t>Dollar Change</t>
  </si>
  <si>
    <t>New Volatility</t>
  </si>
  <si>
    <t>Volatility Change</t>
  </si>
  <si>
    <t>Days Passed</t>
  </si>
  <si>
    <t>New Interets Rate</t>
  </si>
  <si>
    <t>Rate Change</t>
  </si>
  <si>
    <t>New Dividend Yield</t>
  </si>
  <si>
    <t>Dividend Change</t>
  </si>
  <si>
    <t>Greeks Approximation</t>
  </si>
  <si>
    <t>ΔCall</t>
  </si>
  <si>
    <t>ΔPut</t>
  </si>
  <si>
    <t>New Options Values</t>
  </si>
  <si>
    <t>new t</t>
  </si>
  <si>
    <t>new d1</t>
  </si>
  <si>
    <t>new d2</t>
  </si>
  <si>
    <t>Price Change</t>
  </si>
  <si>
    <t>Greek Error</t>
  </si>
  <si>
    <t>*</t>
  </si>
  <si>
    <t>* Not scaled down since excel stores percentage points in decimals</t>
  </si>
  <si>
    <t>Call-Put Parity Check</t>
  </si>
  <si>
    <t>Parity Check</t>
  </si>
  <si>
    <t>Abs Error Call</t>
  </si>
  <si>
    <t>Abs Error Put</t>
  </si>
  <si>
    <t>Stock Price</t>
  </si>
  <si>
    <t>Calendar Days</t>
  </si>
  <si>
    <t>Valuation Date</t>
  </si>
  <si>
    <t xml:space="preserve">Higher Order Sensitivities </t>
  </si>
  <si>
    <t>Elasticity</t>
  </si>
  <si>
    <t>Hold?</t>
  </si>
  <si>
    <t>Contract Value</t>
  </si>
  <si>
    <t>Option Value per Share</t>
  </si>
  <si>
    <t>Break-even Price</t>
  </si>
  <si>
    <t>Moneyness</t>
  </si>
  <si>
    <t>Daily Thehta</t>
  </si>
  <si>
    <t>*Per one percentage point change</t>
  </si>
  <si>
    <t>Metric</t>
  </si>
  <si>
    <t>Checks</t>
  </si>
  <si>
    <t>Positive Stock Price</t>
  </si>
  <si>
    <t>Positive Volatility</t>
  </si>
  <si>
    <t>Valid Exp. Date</t>
  </si>
  <si>
    <t>Put-Call Parity</t>
  </si>
  <si>
    <t>Status</t>
  </si>
  <si>
    <t>Assumptions</t>
  </si>
  <si>
    <t>-&gt; Continous volatility, rates, and yields</t>
  </si>
  <si>
    <t>-&gt; Calendar days of 365 days</t>
  </si>
  <si>
    <t>-&gt; European exercise and Lognormal distributed prices</t>
  </si>
  <si>
    <t>Inputs</t>
  </si>
  <si>
    <t xml:space="preserve">  </t>
  </si>
  <si>
    <t xml:space="preserve">    </t>
  </si>
  <si>
    <t>Discret Dividend Schedule</t>
  </si>
  <si>
    <t>Ex-Dividend Date</t>
  </si>
  <si>
    <t>Time to Dividend</t>
  </si>
  <si>
    <t>Included?</t>
  </si>
  <si>
    <t>Dividend Amount</t>
  </si>
  <si>
    <t>PV of Dividend</t>
  </si>
  <si>
    <t>Ticker</t>
  </si>
  <si>
    <t>SPY</t>
  </si>
  <si>
    <t>*Assumes quaterly dividends, modify if different</t>
  </si>
  <si>
    <t>Note: Dividend amount is projected not announced</t>
  </si>
  <si>
    <t>Total PV of Dividends</t>
  </si>
  <si>
    <t>Adjusted Stock Price</t>
  </si>
  <si>
    <t>* This schedule works bettet for individual stocks where the lumpiness of dividends affects option pricing that can not be capture by the continous discounting model e^-qt</t>
  </si>
  <si>
    <t>Black-Scholes Model (Dividend-Adjusted)</t>
  </si>
  <si>
    <t>Trading Days</t>
  </si>
  <si>
    <t>Dividend Price Impact (Call)</t>
  </si>
  <si>
    <t>Dividend Price Impact (Put)</t>
  </si>
  <si>
    <t>Volatility Term Structure and Skew</t>
  </si>
  <si>
    <t>Strike/Maturiy</t>
  </si>
  <si>
    <t>1-Month</t>
  </si>
  <si>
    <t>3-Month</t>
  </si>
  <si>
    <t>6-Month</t>
  </si>
  <si>
    <t>12-Month</t>
  </si>
  <si>
    <t>Time (yrs)</t>
  </si>
  <si>
    <t xml:space="preserve">Volatility Interpolated </t>
  </si>
  <si>
    <t>Skew-Adjusted Volatility</t>
  </si>
  <si>
    <t>^18SEP2026</t>
  </si>
  <si>
    <t>^20NOV2026</t>
  </si>
  <si>
    <t>^15JAN2027</t>
  </si>
  <si>
    <t>^17SEP2027</t>
  </si>
  <si>
    <t>Volatility Impact (Call)</t>
  </si>
  <si>
    <t>Volatility Impact (Put)</t>
  </si>
  <si>
    <t>*252 trading days, used for volatility adjustement</t>
  </si>
  <si>
    <t>Trading Days Left</t>
  </si>
  <si>
    <t xml:space="preserve">T </t>
  </si>
  <si>
    <t>Trading Days Adjustement</t>
  </si>
  <si>
    <t>Risk-Free Rate Schedule</t>
  </si>
  <si>
    <t>Tenor</t>
  </si>
  <si>
    <t>Rate</t>
  </si>
  <si>
    <t>*Data extracted on 08/08/26, from federalreserve.gov/realeases/h15/</t>
  </si>
  <si>
    <t>Note: Needs to be manually updated when used</t>
  </si>
  <si>
    <t>Matched Risk-Free Rate</t>
  </si>
  <si>
    <t>*Assumes interpolation of rates between 2 closest maturities</t>
  </si>
  <si>
    <t>Improvements and Enhancements Schedules</t>
  </si>
  <si>
    <t xml:space="preserve">Adj. Risk-Free Rate </t>
  </si>
  <si>
    <t>Adjusted Volatility</t>
  </si>
  <si>
    <t xml:space="preserve">Adjusted T </t>
  </si>
  <si>
    <t>Adj. Stock Price</t>
  </si>
  <si>
    <t>Time Impact (Call)</t>
  </si>
  <si>
    <t>Time Impact (Put)</t>
  </si>
  <si>
    <t>Put Intrisic Value</t>
  </si>
  <si>
    <t>Risk-Neutral Probabilities &amp; Parity Check</t>
  </si>
  <si>
    <t>Probability of Finishing ITM (Call)</t>
  </si>
  <si>
    <t>Breakeven (Call)</t>
  </si>
  <si>
    <t>Probability of Profit (Call)</t>
  </si>
  <si>
    <t>Probability of Finishing ITM (Put)</t>
  </si>
  <si>
    <t>Breakeven (Put)</t>
  </si>
  <si>
    <t>Probability of Profit (Put)</t>
  </si>
  <si>
    <t xml:space="preserve">Call </t>
  </si>
  <si>
    <t>C-P</t>
  </si>
  <si>
    <t>S-Xe^rt</t>
  </si>
  <si>
    <t>C+Xe^(rt)</t>
  </si>
  <si>
    <t>P+S</t>
  </si>
  <si>
    <t>The Greeks</t>
  </si>
  <si>
    <t>Greek</t>
  </si>
  <si>
    <t>Delta (Δ)</t>
  </si>
  <si>
    <t>Gamma (Γ)</t>
  </si>
  <si>
    <t>Daily Theta (θ)</t>
  </si>
  <si>
    <t>Vega (ν)</t>
  </si>
  <si>
    <t>Rho (ρ)</t>
  </si>
  <si>
    <t>Phi (φ)</t>
  </si>
  <si>
    <t>Call Abs. Leverage</t>
  </si>
  <si>
    <t>Put Abs. Leverage</t>
  </si>
  <si>
    <t>Market Price Call</t>
  </si>
  <si>
    <t>Market Price Put</t>
  </si>
  <si>
    <t>Iteration</t>
  </si>
  <si>
    <t>Volatility Guess</t>
  </si>
  <si>
    <t>Model Price</t>
  </si>
  <si>
    <t>Price Difference</t>
  </si>
  <si>
    <t>Implied Volatility Call</t>
  </si>
  <si>
    <t>Implied Volatility Put</t>
  </si>
  <si>
    <t>Note: To solve for Implied Volatility, the Newton-Raphson Interation Ladder was used to estimate IV.  Formula is Vol - (ModelPrice-MarketValue)/Vega</t>
  </si>
  <si>
    <t>Check - Goal Seek</t>
  </si>
  <si>
    <t>Model Call Price</t>
  </si>
  <si>
    <t>Volatility Input</t>
  </si>
  <si>
    <t>Model Call Put</t>
  </si>
  <si>
    <t>Binary Options</t>
  </si>
  <si>
    <t>Fixed Payout</t>
  </si>
  <si>
    <t>Cash-or-Nothing Call</t>
  </si>
  <si>
    <t>Cash-or-Nothing Put</t>
  </si>
  <si>
    <t>Asset-or-Nothing Call</t>
  </si>
  <si>
    <t>Asset-or-Nothing Put</t>
  </si>
  <si>
    <t>Vanilla Call Check</t>
  </si>
  <si>
    <t>Vanilla Put Check</t>
  </si>
  <si>
    <t>✪ Complete Modified BSM Model</t>
  </si>
  <si>
    <t>Sensitivity Analysis</t>
  </si>
  <si>
    <t>Call Price - Spot/Implied Volatility Heatmap</t>
  </si>
  <si>
    <t>Put Price - Spot/Implied Volatility Heatmap</t>
  </si>
  <si>
    <t>Dashboard</t>
  </si>
  <si>
    <t>Absolute Leverage</t>
  </si>
  <si>
    <t>Remaining Days</t>
  </si>
  <si>
    <t>&gt;Discrete Dividends instead of continous yield</t>
  </si>
  <si>
    <t>&gt;Adjusted Volatility with Term Structure and Skewness for mor accuracy</t>
  </si>
  <si>
    <t>&gt;trading-day time for volatility terms calculation</t>
  </si>
  <si>
    <t>&gt;Calendar-day time for discounting and interest</t>
  </si>
  <si>
    <t>&gt;Risk-free rate adjusted according to the mturity of the option instead of flat rate</t>
  </si>
  <si>
    <t>Adjustement to the model:</t>
  </si>
  <si>
    <t>Implied Volatility Solver (Newton-Raphson Method)</t>
  </si>
  <si>
    <t>&gt;Trading days exclude weekends but not holidays</t>
  </si>
  <si>
    <t>&gt;Volatility skew and Interets rate schedules are static, manually sourced, and not a curved fit</t>
  </si>
  <si>
    <t xml:space="preserve">      </t>
  </si>
  <si>
    <t xml:space="preserve">        </t>
  </si>
  <si>
    <t>&gt;All Dividens are known through the expiration of the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</si>
</sst>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6" formatCode="_(* #,##0.0000_);_(* \(#,##0.0000\);_(* &quot;-&quot;????_);_(@_)"/>
    <numFmt numFmtId="167" formatCode="\1\-\p\ \=\ 0.00%"/>
    <numFmt numFmtId="168" formatCode="\p\ \=\ 0.00%"/>
    <numFmt numFmtId="169" formatCode="_([$$-409]* #,##0.00_);_([$$-409]* \(#,##0.00\);_([$$-409]* &quot;-&quot;??_);_(@_)"/>
    <numFmt numFmtId="170" formatCode="0.0000"/>
    <numFmt numFmtId="171" formatCode="0.0000%"/>
    <numFmt numFmtId="172" formatCode="&quot;Δ&quot;\ \ 0.000\ "/>
    <numFmt numFmtId="173" formatCode="&quot;Γ&quot;\ 0.000"/>
    <numFmt numFmtId="174" formatCode="0.000"/>
    <numFmt numFmtId="175" formatCode="0.000%"/>
    <numFmt numFmtId="176" formatCode="0.00000"/>
    <numFmt numFmtId="177" formatCode="0.0000\ \ &quot;Yrs&quot;"/>
    <numFmt numFmtId="178" formatCode="_(* #,##0.000000_);_(* \(#,##0.000000\);_(* &quot;-&quot;??_);_(@_)"/>
    <numFmt numFmtId="179" formatCode="\Δ\ 0.0000"/>
    <numFmt numFmtId="180" formatCode="\Γ\ 0.0000"/>
    <numFmt numFmtId="181" formatCode="\θ\ 0.0000"/>
    <numFmt numFmtId="182" formatCode="\ν\ 0.0000"/>
    <numFmt numFmtId="183" formatCode="\ρ\ \ 0.0000"/>
    <numFmt numFmtId="184" formatCode="\φ\ 0.0000"/>
    <numFmt numFmtId="185" formatCode="&quot;$&quot;\ 0.00"/>
    <numFmt numFmtId="186" formatCode="0.00\x"/>
    <numFmt numFmtId="187" formatCode="\Δ\ 0.00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i/>
      <sz val="8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002060"/>
      <name val="Aptos Display"/>
      <family val="2"/>
      <scheme val="major"/>
    </font>
    <font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theme="1"/>
      <name val="Latex"/>
    </font>
    <font>
      <b/>
      <i/>
      <sz val="9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i/>
      <sz val="9"/>
      <color theme="3" tint="0.249977111117893"/>
      <name val="Aptos Narrow"/>
      <family val="2"/>
      <scheme val="minor"/>
    </font>
    <font>
      <sz val="12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1"/>
      <color rgb="FF161616"/>
      <name val="KaTeX_Math"/>
    </font>
    <font>
      <sz val="11"/>
      <color rgb="FF215C98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8"/>
      <color rgb="FF002060"/>
      <name val="Aptos"/>
      <family val="2"/>
    </font>
    <font>
      <b/>
      <i/>
      <sz val="11"/>
      <color rgb="FF002060"/>
      <name val="Aptos Narrow"/>
      <family val="2"/>
      <scheme val="minor"/>
    </font>
    <font>
      <b/>
      <i/>
      <sz val="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25">
    <border>
      <left/>
      <right/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4">
    <xf numFmtId="0" fontId="0" fillId="0" borderId="0" xfId="0"/>
    <xf numFmtId="0" fontId="4" fillId="0" borderId="0" xfId="0" applyFont="1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5" fillId="0" borderId="3" xfId="0" applyFont="1" applyBorder="1"/>
    <xf numFmtId="0" fontId="0" fillId="2" borderId="2" xfId="0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1" applyFont="1"/>
    <xf numFmtId="43" fontId="3" fillId="0" borderId="0" xfId="1" applyFont="1"/>
    <xf numFmtId="0" fontId="4" fillId="0" borderId="0" xfId="1" applyNumberFormat="1" applyFont="1" applyAlignment="1">
      <alignment horizontal="center"/>
    </xf>
    <xf numFmtId="43" fontId="5" fillId="0" borderId="0" xfId="1" applyFont="1"/>
    <xf numFmtId="166" fontId="0" fillId="0" borderId="0" xfId="0" applyNumberFormat="1"/>
    <xf numFmtId="167" fontId="9" fillId="0" borderId="3" xfId="1" applyNumberFormat="1" applyFont="1" applyBorder="1" applyAlignment="1">
      <alignment horizontal="center" vertical="center"/>
    </xf>
    <xf numFmtId="168" fontId="8" fillId="0" borderId="1" xfId="1" applyNumberFormat="1" applyFont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0" fontId="0" fillId="3" borderId="8" xfId="0" applyFill="1" applyBorder="1"/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0" fontId="0" fillId="3" borderId="8" xfId="0" applyNumberFormat="1" applyFill="1" applyBorder="1"/>
    <xf numFmtId="171" fontId="0" fillId="3" borderId="8" xfId="2" applyNumberFormat="1" applyFont="1" applyFill="1" applyBorder="1"/>
    <xf numFmtId="43" fontId="0" fillId="2" borderId="2" xfId="0" applyNumberFormat="1" applyFill="1" applyBorder="1"/>
    <xf numFmtId="0" fontId="0" fillId="0" borderId="0" xfId="0" applyAlignment="1">
      <alignment horizontal="right"/>
    </xf>
    <xf numFmtId="172" fontId="8" fillId="0" borderId="1" xfId="0" applyNumberFormat="1" applyFont="1" applyBorder="1" applyAlignment="1">
      <alignment horizontal="center" vertical="center"/>
    </xf>
    <xf numFmtId="173" fontId="9" fillId="0" borderId="3" xfId="0" applyNumberFormat="1" applyFont="1" applyBorder="1" applyAlignment="1">
      <alignment horizontal="center" vertical="center"/>
    </xf>
    <xf numFmtId="43" fontId="0" fillId="0" borderId="0" xfId="0" applyNumberFormat="1"/>
    <xf numFmtId="164" fontId="0" fillId="0" borderId="0" xfId="0" applyNumberFormat="1"/>
    <xf numFmtId="165" fontId="0" fillId="0" borderId="0" xfId="0" applyNumberFormat="1"/>
    <xf numFmtId="169" fontId="3" fillId="0" borderId="0" xfId="0" applyNumberFormat="1" applyFont="1"/>
    <xf numFmtId="0" fontId="3" fillId="0" borderId="0" xfId="0" applyFont="1"/>
    <xf numFmtId="43" fontId="0" fillId="5" borderId="5" xfId="1" applyFont="1" applyFill="1" applyBorder="1" applyAlignment="1">
      <alignment horizontal="center" vertical="center"/>
    </xf>
    <xf numFmtId="43" fontId="0" fillId="5" borderId="7" xfId="1" applyFont="1" applyFill="1" applyBorder="1" applyAlignment="1">
      <alignment horizontal="center" vertical="center"/>
    </xf>
    <xf numFmtId="43" fontId="2" fillId="4" borderId="4" xfId="1" applyFont="1" applyFill="1" applyBorder="1" applyAlignment="1">
      <alignment horizontal="center" vertical="center"/>
    </xf>
    <xf numFmtId="43" fontId="0" fillId="4" borderId="6" xfId="1" applyFont="1" applyFill="1" applyBorder="1" applyAlignment="1">
      <alignment horizontal="center" vertical="center"/>
    </xf>
    <xf numFmtId="43" fontId="0" fillId="4" borderId="5" xfId="1" applyFont="1" applyFill="1" applyBorder="1" applyAlignment="1">
      <alignment horizontal="center" vertical="center"/>
    </xf>
    <xf numFmtId="2" fontId="0" fillId="0" borderId="9" xfId="1" applyNumberFormat="1" applyFont="1" applyBorder="1" applyAlignment="1">
      <alignment horizontal="center" vertical="center"/>
    </xf>
    <xf numFmtId="170" fontId="7" fillId="0" borderId="8" xfId="1" applyNumberFormat="1" applyFont="1" applyBorder="1" applyAlignment="1">
      <alignment horizontal="center" vertical="center"/>
    </xf>
    <xf numFmtId="43" fontId="2" fillId="4" borderId="5" xfId="1" applyFont="1" applyFill="1" applyBorder="1" applyAlignment="1">
      <alignment horizontal="center" vertical="center"/>
    </xf>
    <xf numFmtId="172" fontId="7" fillId="0" borderId="4" xfId="0" applyNumberFormat="1" applyFont="1" applyBorder="1" applyAlignment="1">
      <alignment horizontal="center" vertical="center"/>
    </xf>
    <xf numFmtId="173" fontId="6" fillId="0" borderId="4" xfId="0" applyNumberFormat="1" applyFont="1" applyBorder="1" applyAlignment="1">
      <alignment horizontal="center" vertical="center"/>
    </xf>
    <xf numFmtId="10" fontId="0" fillId="0" borderId="0" xfId="2" applyNumberFormat="1" applyFont="1"/>
    <xf numFmtId="164" fontId="0" fillId="0" borderId="0" xfId="1" applyNumberFormat="1" applyFont="1"/>
    <xf numFmtId="0" fontId="0" fillId="0" borderId="0" xfId="0" applyAlignment="1">
      <alignment horizontal="left" vertical="center" indent="1"/>
    </xf>
    <xf numFmtId="0" fontId="0" fillId="0" borderId="4" xfId="0" applyBorder="1"/>
    <xf numFmtId="170" fontId="0" fillId="7" borderId="4" xfId="0" applyNumberFormat="1" applyFill="1" applyBorder="1"/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170" fontId="0" fillId="0" borderId="4" xfId="1" applyNumberFormat="1" applyFont="1" applyBorder="1"/>
    <xf numFmtId="170" fontId="0" fillId="0" borderId="4" xfId="0" applyNumberFormat="1" applyBorder="1"/>
    <xf numFmtId="0" fontId="11" fillId="8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 vertical="center"/>
    </xf>
    <xf numFmtId="0" fontId="12" fillId="0" borderId="0" xfId="0" applyFont="1"/>
    <xf numFmtId="0" fontId="0" fillId="0" borderId="10" xfId="0" applyBorder="1"/>
    <xf numFmtId="0" fontId="0" fillId="0" borderId="12" xfId="0" applyBorder="1"/>
    <xf numFmtId="0" fontId="0" fillId="0" borderId="14" xfId="0" applyBorder="1"/>
    <xf numFmtId="43" fontId="0" fillId="5" borderId="4" xfId="1" applyFont="1" applyFill="1" applyBorder="1"/>
    <xf numFmtId="169" fontId="0" fillId="5" borderId="4" xfId="0" applyNumberFormat="1" applyFill="1" applyBorder="1"/>
    <xf numFmtId="164" fontId="0" fillId="5" borderId="4" xfId="1" applyNumberFormat="1" applyFont="1" applyFill="1" applyBorder="1"/>
    <xf numFmtId="10" fontId="0" fillId="5" borderId="4" xfId="2" applyNumberFormat="1" applyFont="1" applyFill="1" applyBorder="1"/>
    <xf numFmtId="0" fontId="2" fillId="0" borderId="10" xfId="0" applyFont="1" applyBorder="1"/>
    <xf numFmtId="0" fontId="2" fillId="0" borderId="12" xfId="0" applyFont="1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70" fontId="0" fillId="5" borderId="4" xfId="0" applyNumberFormat="1" applyFill="1" applyBorder="1"/>
    <xf numFmtId="0" fontId="0" fillId="0" borderId="8" xfId="0" applyBorder="1"/>
    <xf numFmtId="0" fontId="0" fillId="0" borderId="16" xfId="0" applyBorder="1"/>
    <xf numFmtId="174" fontId="0" fillId="5" borderId="8" xfId="0" applyNumberFormat="1" applyFill="1" applyBorder="1"/>
    <xf numFmtId="0" fontId="0" fillId="0" borderId="4" xfId="0" applyBorder="1" applyAlignment="1">
      <alignment horizontal="centerContinuous"/>
    </xf>
    <xf numFmtId="0" fontId="0" fillId="0" borderId="0" xfId="2" applyNumberFormat="1" applyFont="1"/>
    <xf numFmtId="0" fontId="14" fillId="0" borderId="0" xfId="0" applyFont="1"/>
    <xf numFmtId="0" fontId="8" fillId="0" borderId="0" xfId="0" applyFont="1"/>
    <xf numFmtId="0" fontId="11" fillId="8" borderId="4" xfId="0" applyFont="1" applyFill="1" applyBorder="1" applyAlignment="1">
      <alignment horizontal="centerContinuous"/>
    </xf>
    <xf numFmtId="170" fontId="2" fillId="5" borderId="4" xfId="0" applyNumberFormat="1" applyFont="1" applyFill="1" applyBorder="1" applyAlignment="1">
      <alignment horizontal="center"/>
    </xf>
    <xf numFmtId="175" fontId="0" fillId="5" borderId="4" xfId="2" applyNumberFormat="1" applyFont="1" applyFill="1" applyBorder="1"/>
    <xf numFmtId="43" fontId="3" fillId="0" borderId="0" xfId="0" applyNumberFormat="1" applyFont="1"/>
    <xf numFmtId="0" fontId="13" fillId="0" borderId="10" xfId="0" applyFont="1" applyBorder="1"/>
    <xf numFmtId="0" fontId="13" fillId="0" borderId="14" xfId="0" applyFont="1" applyBorder="1"/>
    <xf numFmtId="0" fontId="13" fillId="0" borderId="12" xfId="0" applyFont="1" applyBorder="1"/>
    <xf numFmtId="164" fontId="0" fillId="0" borderId="4" xfId="1" applyNumberFormat="1" applyFont="1" applyBorder="1"/>
    <xf numFmtId="44" fontId="2" fillId="5" borderId="4" xfId="3" applyFont="1" applyFill="1" applyBorder="1" applyAlignment="1">
      <alignment horizontal="center"/>
    </xf>
    <xf numFmtId="10" fontId="2" fillId="5" borderId="4" xfId="2" applyNumberFormat="1" applyFont="1" applyFill="1" applyBorder="1" applyAlignment="1">
      <alignment horizontal="center"/>
    </xf>
    <xf numFmtId="10" fontId="2" fillId="5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/>
    <xf numFmtId="0" fontId="2" fillId="0" borderId="4" xfId="0" applyFont="1" applyBorder="1"/>
    <xf numFmtId="0" fontId="16" fillId="0" borderId="0" xfId="0" applyFont="1" applyAlignment="1">
      <alignment horizontal="centerContinuous"/>
    </xf>
    <xf numFmtId="0" fontId="11" fillId="8" borderId="17" xfId="0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2" fillId="5" borderId="20" xfId="0" applyFont="1" applyFill="1" applyBorder="1"/>
    <xf numFmtId="43" fontId="0" fillId="0" borderId="20" xfId="0" applyNumberFormat="1" applyBorder="1"/>
    <xf numFmtId="0" fontId="2" fillId="5" borderId="21" xfId="0" applyFont="1" applyFill="1" applyBorder="1"/>
    <xf numFmtId="44" fontId="0" fillId="0" borderId="21" xfId="3" applyFont="1" applyFill="1" applyBorder="1"/>
    <xf numFmtId="43" fontId="0" fillId="0" borderId="21" xfId="0" applyNumberFormat="1" applyBorder="1"/>
    <xf numFmtId="0" fontId="2" fillId="5" borderId="22" xfId="0" applyFont="1" applyFill="1" applyBorder="1"/>
    <xf numFmtId="10" fontId="15" fillId="0" borderId="22" xfId="2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170" fontId="0" fillId="0" borderId="21" xfId="0" applyNumberFormat="1" applyBorder="1"/>
    <xf numFmtId="0" fontId="0" fillId="5" borderId="22" xfId="0" applyFill="1" applyBorder="1"/>
    <xf numFmtId="170" fontId="0" fillId="0" borderId="22" xfId="0" applyNumberFormat="1" applyBorder="1"/>
    <xf numFmtId="170" fontId="0" fillId="0" borderId="20" xfId="0" applyNumberFormat="1" applyBorder="1"/>
    <xf numFmtId="0" fontId="17" fillId="5" borderId="11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8" fillId="0" borderId="10" xfId="0" applyFont="1" applyBorder="1"/>
    <xf numFmtId="0" fontId="8" fillId="0" borderId="14" xfId="0" applyFont="1" applyBorder="1"/>
    <xf numFmtId="0" fontId="8" fillId="0" borderId="12" xfId="0" applyFont="1" applyBorder="1"/>
    <xf numFmtId="0" fontId="18" fillId="8" borderId="0" xfId="0" applyFont="1" applyFill="1" applyAlignment="1">
      <alignment horizontal="center"/>
    </xf>
    <xf numFmtId="0" fontId="8" fillId="0" borderId="0" xfId="0" quotePrefix="1" applyFont="1"/>
    <xf numFmtId="0" fontId="0" fillId="3" borderId="4" xfId="0" applyFill="1" applyBorder="1"/>
    <xf numFmtId="10" fontId="14" fillId="0" borderId="0" xfId="2" applyNumberFormat="1" applyFont="1" applyAlignment="1">
      <alignment horizontal="left"/>
    </xf>
    <xf numFmtId="0" fontId="10" fillId="9" borderId="8" xfId="0" applyFont="1" applyFill="1" applyBorder="1"/>
    <xf numFmtId="14" fontId="10" fillId="9" borderId="8" xfId="0" applyNumberFormat="1" applyFont="1" applyFill="1" applyBorder="1"/>
    <xf numFmtId="10" fontId="10" fillId="9" borderId="8" xfId="2" applyNumberFormat="1" applyFont="1" applyFill="1" applyBorder="1"/>
    <xf numFmtId="0" fontId="3" fillId="8" borderId="0" xfId="0" applyFont="1" applyFill="1"/>
    <xf numFmtId="0" fontId="10" fillId="9" borderId="8" xfId="0" applyFont="1" applyFill="1" applyBorder="1" applyAlignment="1">
      <alignment horizontal="right"/>
    </xf>
    <xf numFmtId="177" fontId="0" fillId="0" borderId="4" xfId="0" applyNumberFormat="1" applyBorder="1"/>
    <xf numFmtId="1" fontId="0" fillId="0" borderId="4" xfId="0" applyNumberFormat="1" applyBorder="1"/>
    <xf numFmtId="14" fontId="0" fillId="0" borderId="4" xfId="0" applyNumberFormat="1" applyBorder="1"/>
    <xf numFmtId="0" fontId="2" fillId="7" borderId="4" xfId="0" applyFont="1" applyFill="1" applyBorder="1" applyAlignment="1">
      <alignment horizontal="center"/>
    </xf>
    <xf numFmtId="0" fontId="20" fillId="8" borderId="0" xfId="0" applyFont="1" applyFill="1"/>
    <xf numFmtId="0" fontId="20" fillId="8" borderId="0" xfId="0" applyFont="1" applyFill="1" applyAlignment="1">
      <alignment horizontal="left"/>
    </xf>
    <xf numFmtId="0" fontId="10" fillId="9" borderId="8" xfId="2" applyNumberFormat="1" applyFont="1" applyFill="1" applyBorder="1"/>
    <xf numFmtId="14" fontId="2" fillId="2" borderId="8" xfId="0" applyNumberFormat="1" applyFont="1" applyFill="1" applyBorder="1"/>
    <xf numFmtId="0" fontId="2" fillId="2" borderId="8" xfId="0" applyFont="1" applyFill="1" applyBorder="1"/>
    <xf numFmtId="2" fontId="0" fillId="0" borderId="4" xfId="0" applyNumberFormat="1" applyBorder="1"/>
    <xf numFmtId="44" fontId="0" fillId="0" borderId="4" xfId="3" applyFont="1" applyBorder="1"/>
    <xf numFmtId="0" fontId="2" fillId="10" borderId="10" xfId="0" applyFont="1" applyFill="1" applyBorder="1"/>
    <xf numFmtId="0" fontId="2" fillId="10" borderId="14" xfId="0" applyFont="1" applyFill="1" applyBorder="1"/>
    <xf numFmtId="0" fontId="2" fillId="10" borderId="12" xfId="0" applyFont="1" applyFill="1" applyBorder="1"/>
    <xf numFmtId="0" fontId="19" fillId="10" borderId="5" xfId="0" applyFont="1" applyFill="1" applyBorder="1"/>
    <xf numFmtId="0" fontId="19" fillId="10" borderId="7" xfId="0" applyFont="1" applyFill="1" applyBorder="1"/>
    <xf numFmtId="2" fontId="2" fillId="0" borderId="4" xfId="0" applyNumberFormat="1" applyFont="1" applyBorder="1"/>
    <xf numFmtId="176" fontId="0" fillId="2" borderId="4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14" fontId="22" fillId="9" borderId="4" xfId="0" applyNumberFormat="1" applyFont="1" applyFill="1" applyBorder="1"/>
    <xf numFmtId="170" fontId="22" fillId="9" borderId="4" xfId="0" applyNumberFormat="1" applyFont="1" applyFill="1" applyBorder="1"/>
    <xf numFmtId="2" fontId="23" fillId="9" borderId="4" xfId="0" applyNumberFormat="1" applyFont="1" applyFill="1" applyBorder="1" applyAlignment="1">
      <alignment horizontal="center"/>
    </xf>
    <xf numFmtId="0" fontId="23" fillId="9" borderId="4" xfId="0" applyFont="1" applyFill="1" applyBorder="1" applyAlignment="1">
      <alignment horizontal="center"/>
    </xf>
    <xf numFmtId="10" fontId="22" fillId="9" borderId="4" xfId="2" applyNumberFormat="1" applyFont="1" applyFill="1" applyBorder="1"/>
    <xf numFmtId="0" fontId="13" fillId="0" borderId="5" xfId="0" applyFont="1" applyBorder="1"/>
    <xf numFmtId="0" fontId="13" fillId="0" borderId="6" xfId="0" applyFont="1" applyBorder="1"/>
    <xf numFmtId="10" fontId="0" fillId="3" borderId="4" xfId="0" applyNumberFormat="1" applyFill="1" applyBorder="1"/>
    <xf numFmtId="10" fontId="0" fillId="0" borderId="4" xfId="2" applyNumberFormat="1" applyFont="1" applyBorder="1"/>
    <xf numFmtId="10" fontId="2" fillId="0" borderId="4" xfId="2" applyNumberFormat="1" applyFont="1" applyBorder="1"/>
    <xf numFmtId="0" fontId="0" fillId="0" borderId="7" xfId="0" applyBorder="1"/>
    <xf numFmtId="2" fontId="0" fillId="0" borderId="8" xfId="0" applyNumberFormat="1" applyBorder="1"/>
    <xf numFmtId="2" fontId="2" fillId="0" borderId="8" xfId="0" applyNumberFormat="1" applyFont="1" applyBorder="1"/>
    <xf numFmtId="0" fontId="8" fillId="0" borderId="0" xfId="0" applyFont="1" applyAlignment="1">
      <alignment horizontal="right" vertical="top"/>
    </xf>
    <xf numFmtId="0" fontId="2" fillId="10" borderId="5" xfId="0" applyFont="1" applyFill="1" applyBorder="1"/>
    <xf numFmtId="0" fontId="2" fillId="10" borderId="7" xfId="0" applyFont="1" applyFill="1" applyBorder="1"/>
    <xf numFmtId="0" fontId="2" fillId="10" borderId="4" xfId="0" applyFont="1" applyFill="1" applyBorder="1" applyAlignment="1">
      <alignment horizontal="center"/>
    </xf>
    <xf numFmtId="0" fontId="19" fillId="10" borderId="10" xfId="0" applyFont="1" applyFill="1" applyBorder="1"/>
    <xf numFmtId="0" fontId="19" fillId="10" borderId="12" xfId="0" applyFont="1" applyFill="1" applyBorder="1"/>
    <xf numFmtId="1" fontId="0" fillId="2" borderId="8" xfId="0" applyNumberFormat="1" applyFill="1" applyBorder="1"/>
    <xf numFmtId="176" fontId="0" fillId="2" borderId="8" xfId="0" applyNumberFormat="1" applyFill="1" applyBorder="1"/>
    <xf numFmtId="2" fontId="0" fillId="2" borderId="8" xfId="0" applyNumberFormat="1" applyFill="1" applyBorder="1"/>
    <xf numFmtId="10" fontId="0" fillId="2" borderId="8" xfId="0" applyNumberFormat="1" applyFill="1" applyBorder="1"/>
    <xf numFmtId="44" fontId="0" fillId="0" borderId="8" xfId="3" applyFont="1" applyBorder="1"/>
    <xf numFmtId="0" fontId="24" fillId="11" borderId="0" xfId="0" applyFont="1" applyFill="1"/>
    <xf numFmtId="178" fontId="4" fillId="0" borderId="0" xfId="0" applyNumberFormat="1" applyFont="1" applyAlignment="1">
      <alignment horizontal="center"/>
    </xf>
    <xf numFmtId="174" fontId="0" fillId="5" borderId="4" xfId="0" applyNumberFormat="1" applyFill="1" applyBorder="1"/>
    <xf numFmtId="164" fontId="0" fillId="5" borderId="4" xfId="0" applyNumberFormat="1" applyFill="1" applyBorder="1"/>
    <xf numFmtId="0" fontId="25" fillId="11" borderId="0" xfId="0" applyFont="1" applyFill="1"/>
    <xf numFmtId="176" fontId="0" fillId="0" borderId="4" xfId="0" applyNumberFormat="1" applyBorder="1"/>
    <xf numFmtId="2" fontId="0" fillId="0" borderId="0" xfId="0" applyNumberFormat="1"/>
    <xf numFmtId="0" fontId="0" fillId="10" borderId="10" xfId="0" applyFill="1" applyBorder="1"/>
    <xf numFmtId="0" fontId="0" fillId="10" borderId="12" xfId="0" applyFill="1" applyBorder="1"/>
    <xf numFmtId="0" fontId="0" fillId="10" borderId="5" xfId="0" applyFill="1" applyBorder="1"/>
    <xf numFmtId="0" fontId="0" fillId="10" borderId="7" xfId="0" applyFill="1" applyBorder="1"/>
    <xf numFmtId="0" fontId="26" fillId="2" borderId="4" xfId="0" applyFont="1" applyFill="1" applyBorder="1" applyAlignment="1">
      <alignment horizontal="center"/>
    </xf>
    <xf numFmtId="0" fontId="0" fillId="10" borderId="4" xfId="0" applyFill="1" applyBorder="1"/>
    <xf numFmtId="0" fontId="11" fillId="12" borderId="4" xfId="0" applyFont="1" applyFill="1" applyBorder="1" applyAlignment="1">
      <alignment horizontal="center"/>
    </xf>
    <xf numFmtId="0" fontId="27" fillId="0" borderId="0" xfId="0" applyFont="1" applyAlignment="1">
      <alignment horizontal="right"/>
    </xf>
    <xf numFmtId="179" fontId="0" fillId="0" borderId="4" xfId="0" applyNumberFormat="1" applyBorder="1"/>
    <xf numFmtId="180" fontId="0" fillId="0" borderId="4" xfId="0" applyNumberFormat="1" applyBorder="1"/>
    <xf numFmtId="181" fontId="0" fillId="0" borderId="4" xfId="0" applyNumberFormat="1" applyBorder="1"/>
    <xf numFmtId="182" fontId="0" fillId="0" borderId="4" xfId="0" applyNumberFormat="1" applyBorder="1"/>
    <xf numFmtId="183" fontId="0" fillId="0" borderId="4" xfId="0" applyNumberFormat="1" applyBorder="1"/>
    <xf numFmtId="184" fontId="0" fillId="0" borderId="4" xfId="0" applyNumberFormat="1" applyBorder="1"/>
    <xf numFmtId="10" fontId="0" fillId="0" borderId="0" xfId="0" applyNumberFormat="1"/>
    <xf numFmtId="0" fontId="0" fillId="2" borderId="5" xfId="0" applyFill="1" applyBorder="1"/>
    <xf numFmtId="0" fontId="0" fillId="2" borderId="7" xfId="0" applyFill="1" applyBorder="1"/>
    <xf numFmtId="10" fontId="0" fillId="0" borderId="4" xfId="0" applyNumberFormat="1" applyBorder="1"/>
    <xf numFmtId="0" fontId="0" fillId="2" borderId="4" xfId="0" applyFill="1" applyBorder="1"/>
    <xf numFmtId="0" fontId="21" fillId="10" borderId="4" xfId="0" applyFont="1" applyFill="1" applyBorder="1"/>
    <xf numFmtId="2" fontId="17" fillId="0" borderId="0" xfId="0" applyNumberFormat="1" applyFont="1" applyAlignment="1">
      <alignment horizontal="center"/>
    </xf>
    <xf numFmtId="0" fontId="22" fillId="9" borderId="4" xfId="0" applyFont="1" applyFill="1" applyBorder="1"/>
    <xf numFmtId="2" fontId="22" fillId="9" borderId="4" xfId="0" applyNumberFormat="1" applyFont="1" applyFill="1" applyBorder="1"/>
    <xf numFmtId="10" fontId="28" fillId="9" borderId="4" xfId="0" applyNumberFormat="1" applyFont="1" applyFill="1" applyBorder="1"/>
    <xf numFmtId="10" fontId="22" fillId="9" borderId="4" xfId="0" applyNumberFormat="1" applyFont="1" applyFill="1" applyBorder="1"/>
    <xf numFmtId="10" fontId="22" fillId="9" borderId="8" xfId="0" applyNumberFormat="1" applyFont="1" applyFill="1" applyBorder="1"/>
    <xf numFmtId="0" fontId="0" fillId="2" borderId="6" xfId="0" applyFill="1" applyBorder="1"/>
    <xf numFmtId="2" fontId="5" fillId="0" borderId="8" xfId="0" applyNumberFormat="1" applyFont="1" applyBorder="1"/>
    <xf numFmtId="2" fontId="14" fillId="0" borderId="0" xfId="0" applyNumberFormat="1" applyFont="1"/>
    <xf numFmtId="44" fontId="22" fillId="9" borderId="4" xfId="3" applyFont="1" applyFill="1" applyBorder="1"/>
    <xf numFmtId="44" fontId="0" fillId="0" borderId="8" xfId="0" applyNumberFormat="1" applyBorder="1"/>
    <xf numFmtId="0" fontId="13" fillId="0" borderId="7" xfId="0" applyFont="1" applyBorder="1"/>
    <xf numFmtId="2" fontId="14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 indent="1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10" fontId="2" fillId="2" borderId="4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9" fillId="2" borderId="4" xfId="0" applyNumberFormat="1" applyFont="1" applyFill="1" applyBorder="1"/>
    <xf numFmtId="0" fontId="30" fillId="9" borderId="5" xfId="0" applyFont="1" applyFill="1" applyBorder="1" applyAlignment="1">
      <alignment horizontal="center"/>
    </xf>
    <xf numFmtId="0" fontId="31" fillId="9" borderId="7" xfId="0" applyFont="1" applyFill="1" applyBorder="1" applyAlignment="1">
      <alignment horizontal="center"/>
    </xf>
    <xf numFmtId="0" fontId="30" fillId="0" borderId="14" xfId="0" applyFont="1" applyBorder="1"/>
    <xf numFmtId="187" fontId="30" fillId="0" borderId="15" xfId="0" applyNumberFormat="1" applyFont="1" applyBorder="1"/>
    <xf numFmtId="2" fontId="30" fillId="0" borderId="15" xfId="0" applyNumberFormat="1" applyFont="1" applyBorder="1"/>
    <xf numFmtId="10" fontId="30" fillId="0" borderId="15" xfId="2" applyNumberFormat="1" applyFont="1" applyBorder="1"/>
    <xf numFmtId="0" fontId="33" fillId="0" borderId="15" xfId="0" applyFont="1" applyBorder="1" applyAlignment="1">
      <alignment horizontal="right"/>
    </xf>
    <xf numFmtId="0" fontId="30" fillId="0" borderId="12" xfId="0" applyFont="1" applyBorder="1"/>
    <xf numFmtId="186" fontId="30" fillId="0" borderId="13" xfId="0" applyNumberFormat="1" applyFont="1" applyBorder="1"/>
    <xf numFmtId="0" fontId="34" fillId="0" borderId="0" xfId="0" applyFont="1"/>
    <xf numFmtId="0" fontId="3" fillId="8" borderId="4" xfId="0" applyFont="1" applyFill="1" applyBorder="1"/>
    <xf numFmtId="0" fontId="3" fillId="8" borderId="4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 vertical="top" wrapText="1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185" fontId="32" fillId="0" borderId="14" xfId="3" applyNumberFormat="1" applyFont="1" applyBorder="1" applyAlignment="1">
      <alignment horizontal="center" vertical="center"/>
    </xf>
    <xf numFmtId="185" fontId="32" fillId="0" borderId="15" xfId="3" applyNumberFormat="1" applyFont="1" applyBorder="1" applyAlignment="1">
      <alignment horizontal="center" vertical="center"/>
    </xf>
    <xf numFmtId="0" fontId="20" fillId="8" borderId="0" xfId="0" applyFont="1" applyFill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2" fillId="10" borderId="10" xfId="0" applyFont="1" applyFill="1" applyBorder="1" applyAlignment="1">
      <alignment horizontal="left"/>
    </xf>
    <xf numFmtId="0" fontId="2" fillId="10" borderId="23" xfId="0" applyFont="1" applyFill="1" applyBorder="1" applyAlignment="1">
      <alignment horizontal="left"/>
    </xf>
    <xf numFmtId="0" fontId="2" fillId="10" borderId="12" xfId="0" applyFont="1" applyFill="1" applyBorder="1" applyAlignment="1">
      <alignment horizontal="left"/>
    </xf>
    <xf numFmtId="0" fontId="2" fillId="10" borderId="24" xfId="0" applyFont="1" applyFill="1" applyBorder="1" applyAlignment="1">
      <alignment horizontal="lef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8E1"/>
      <color rgb="FFFFB7B7"/>
      <color rgb="FFFF6161"/>
      <color rgb="FFFF7171"/>
      <color rgb="FFFFEFEF"/>
      <color rgb="FFFFDB69"/>
      <color rgb="FFA0DF89"/>
      <color rgb="FF65FFAB"/>
      <color rgb="FF25FF88"/>
      <color rgb="FFC0E9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</a:t>
            </a:r>
            <a:r>
              <a:rPr lang="en-US" baseline="0"/>
              <a:t> Value Sensitivity to Stock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37142308430958"/>
          <c:y val="0.16484444444444443"/>
          <c:w val="0.8493684143140644"/>
          <c:h val="0.58591811023622042"/>
        </c:manualLayout>
      </c:layout>
      <c:lineChart>
        <c:grouping val="standard"/>
        <c:varyColors val="0"/>
        <c:ser>
          <c:idx val="0"/>
          <c:order val="0"/>
          <c:tx>
            <c:v>Call 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'Black-Scholes European'!$B$90:$B$122</c:f>
              <c:numCache>
                <c:formatCode>_("$"* #,##0.00_);_("$"* \(#,##0.00\);_("$"* "-"??_);_(@_)</c:formatCode>
                <c:ptCount val="33"/>
                <c:pt idx="0">
                  <c:v>680</c:v>
                </c:pt>
                <c:pt idx="1">
                  <c:v>685</c:v>
                </c:pt>
                <c:pt idx="2">
                  <c:v>690</c:v>
                </c:pt>
                <c:pt idx="3">
                  <c:v>695</c:v>
                </c:pt>
                <c:pt idx="4">
                  <c:v>700</c:v>
                </c:pt>
                <c:pt idx="5">
                  <c:v>705</c:v>
                </c:pt>
                <c:pt idx="6">
                  <c:v>710</c:v>
                </c:pt>
                <c:pt idx="7">
                  <c:v>715</c:v>
                </c:pt>
                <c:pt idx="8">
                  <c:v>720</c:v>
                </c:pt>
                <c:pt idx="9">
                  <c:v>725</c:v>
                </c:pt>
                <c:pt idx="10">
                  <c:v>730</c:v>
                </c:pt>
                <c:pt idx="11">
                  <c:v>735</c:v>
                </c:pt>
                <c:pt idx="12">
                  <c:v>740</c:v>
                </c:pt>
                <c:pt idx="13">
                  <c:v>745</c:v>
                </c:pt>
                <c:pt idx="14">
                  <c:v>750</c:v>
                </c:pt>
                <c:pt idx="15">
                  <c:v>755</c:v>
                </c:pt>
                <c:pt idx="16">
                  <c:v>760</c:v>
                </c:pt>
                <c:pt idx="17">
                  <c:v>765</c:v>
                </c:pt>
                <c:pt idx="18">
                  <c:v>770</c:v>
                </c:pt>
                <c:pt idx="19">
                  <c:v>775</c:v>
                </c:pt>
                <c:pt idx="20">
                  <c:v>780</c:v>
                </c:pt>
                <c:pt idx="21">
                  <c:v>785</c:v>
                </c:pt>
                <c:pt idx="22">
                  <c:v>790</c:v>
                </c:pt>
                <c:pt idx="23">
                  <c:v>795</c:v>
                </c:pt>
                <c:pt idx="24">
                  <c:v>800</c:v>
                </c:pt>
                <c:pt idx="25">
                  <c:v>805</c:v>
                </c:pt>
                <c:pt idx="26">
                  <c:v>810</c:v>
                </c:pt>
                <c:pt idx="27">
                  <c:v>815</c:v>
                </c:pt>
                <c:pt idx="28">
                  <c:v>820</c:v>
                </c:pt>
                <c:pt idx="29">
                  <c:v>825</c:v>
                </c:pt>
                <c:pt idx="30">
                  <c:v>830</c:v>
                </c:pt>
                <c:pt idx="31">
                  <c:v>835</c:v>
                </c:pt>
                <c:pt idx="32">
                  <c:v>840</c:v>
                </c:pt>
              </c:numCache>
            </c:numRef>
          </c:cat>
          <c:val>
            <c:numRef>
              <c:f>'Black-Scholes European'!$C$90:$C$122</c:f>
              <c:numCache>
                <c:formatCode>_(* #,##0.000_);_(* \(#,##0.000\);_(* "-"??_);_(@_)</c:formatCode>
                <c:ptCount val="33"/>
                <c:pt idx="0">
                  <c:v>2.1593912728693141</c:v>
                </c:pt>
                <c:pt idx="1">
                  <c:v>2.7051786906821178</c:v>
                </c:pt>
                <c:pt idx="2">
                  <c:v>3.3556271016787633</c:v>
                </c:pt>
                <c:pt idx="3">
                  <c:v>4.1229585755005616</c:v>
                </c:pt>
                <c:pt idx="4">
                  <c:v>5.019312428763925</c:v>
                </c:pt>
                <c:pt idx="5">
                  <c:v>6.0564754413736921</c:v>
                </c:pt>
                <c:pt idx="6">
                  <c:v>7.2456064405000404</c:v>
                </c:pt>
                <c:pt idx="7">
                  <c:v>8.596966622148841</c:v>
                </c:pt>
                <c:pt idx="8">
                  <c:v>10.119667013243969</c:v>
                </c:pt>
                <c:pt idx="9">
                  <c:v>11.821443806878023</c:v>
                </c:pt>
                <c:pt idx="10">
                  <c:v>13.708470979424021</c:v>
                </c:pt>
                <c:pt idx="11">
                  <c:v>15.785217721612526</c:v>
                </c:pt>
                <c:pt idx="12">
                  <c:v>18.054355928411496</c:v>
                </c:pt>
                <c:pt idx="13">
                  <c:v>20.516720463173385</c:v>
                </c:pt>
                <c:pt idx="14">
                  <c:v>23.171322319294859</c:v>
                </c:pt>
                <c:pt idx="15">
                  <c:v>26.015412321595591</c:v>
                </c:pt>
                <c:pt idx="16">
                  <c:v>29.044590794296084</c:v>
                </c:pt>
                <c:pt idx="17">
                  <c:v>32.252956796620424</c:v>
                </c:pt>
                <c:pt idx="18">
                  <c:v>35.633289176235394</c:v>
                </c:pt>
                <c:pt idx="19">
                  <c:v>39.177250859021228</c:v>
                </c:pt>
                <c:pt idx="20">
                  <c:v>42.875607484330317</c:v>
                </c:pt>
                <c:pt idx="21">
                  <c:v>46.718451674668358</c:v>
                </c:pt>
                <c:pt idx="22">
                  <c:v>50.695424834613732</c:v>
                </c:pt>
                <c:pt idx="23">
                  <c:v>54.795929321503991</c:v>
                </c:pt>
                <c:pt idx="24">
                  <c:v>59.009325023557949</c:v>
                </c:pt>
                <c:pt idx="25">
                  <c:v>63.325105719908038</c:v>
                </c:pt>
                <c:pt idx="26">
                  <c:v>67.733051986173109</c:v>
                </c:pt>
                <c:pt idx="27">
                  <c:v>72.223358764049067</c:v>
                </c:pt>
                <c:pt idx="28">
                  <c:v>76.786736964293254</c:v>
                </c:pt>
                <c:pt idx="29">
                  <c:v>81.414489567222745</c:v>
                </c:pt>
                <c:pt idx="30">
                  <c:v>86.098563589473088</c:v>
                </c:pt>
                <c:pt idx="31">
                  <c:v>90.831579983530901</c:v>
                </c:pt>
                <c:pt idx="32">
                  <c:v>95.606844026150952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0-4F8B-A360-77E1D7C0A998}"/>
            </c:ext>
          </c:extLst>
        </c:ser>
        <c:ser>
          <c:idx val="1"/>
          <c:order val="1"/>
          <c:tx>
            <c:v>Put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'Black-Scholes European'!$B$90:$B$122</c:f>
              <c:numCache>
                <c:formatCode>_("$"* #,##0.00_);_("$"* \(#,##0.00\);_("$"* "-"??_);_(@_)</c:formatCode>
                <c:ptCount val="33"/>
                <c:pt idx="0">
                  <c:v>680</c:v>
                </c:pt>
                <c:pt idx="1">
                  <c:v>685</c:v>
                </c:pt>
                <c:pt idx="2">
                  <c:v>690</c:v>
                </c:pt>
                <c:pt idx="3">
                  <c:v>695</c:v>
                </c:pt>
                <c:pt idx="4">
                  <c:v>700</c:v>
                </c:pt>
                <c:pt idx="5">
                  <c:v>705</c:v>
                </c:pt>
                <c:pt idx="6">
                  <c:v>710</c:v>
                </c:pt>
                <c:pt idx="7">
                  <c:v>715</c:v>
                </c:pt>
                <c:pt idx="8">
                  <c:v>720</c:v>
                </c:pt>
                <c:pt idx="9">
                  <c:v>725</c:v>
                </c:pt>
                <c:pt idx="10">
                  <c:v>730</c:v>
                </c:pt>
                <c:pt idx="11">
                  <c:v>735</c:v>
                </c:pt>
                <c:pt idx="12">
                  <c:v>740</c:v>
                </c:pt>
                <c:pt idx="13">
                  <c:v>745</c:v>
                </c:pt>
                <c:pt idx="14">
                  <c:v>750</c:v>
                </c:pt>
                <c:pt idx="15">
                  <c:v>755</c:v>
                </c:pt>
                <c:pt idx="16">
                  <c:v>760</c:v>
                </c:pt>
                <c:pt idx="17">
                  <c:v>765</c:v>
                </c:pt>
                <c:pt idx="18">
                  <c:v>770</c:v>
                </c:pt>
                <c:pt idx="19">
                  <c:v>775</c:v>
                </c:pt>
                <c:pt idx="20">
                  <c:v>780</c:v>
                </c:pt>
                <c:pt idx="21">
                  <c:v>785</c:v>
                </c:pt>
                <c:pt idx="22">
                  <c:v>790</c:v>
                </c:pt>
                <c:pt idx="23">
                  <c:v>795</c:v>
                </c:pt>
                <c:pt idx="24">
                  <c:v>800</c:v>
                </c:pt>
                <c:pt idx="25">
                  <c:v>805</c:v>
                </c:pt>
                <c:pt idx="26">
                  <c:v>810</c:v>
                </c:pt>
                <c:pt idx="27">
                  <c:v>815</c:v>
                </c:pt>
                <c:pt idx="28">
                  <c:v>820</c:v>
                </c:pt>
                <c:pt idx="29">
                  <c:v>825</c:v>
                </c:pt>
                <c:pt idx="30">
                  <c:v>830</c:v>
                </c:pt>
                <c:pt idx="31">
                  <c:v>835</c:v>
                </c:pt>
                <c:pt idx="32">
                  <c:v>840</c:v>
                </c:pt>
              </c:numCache>
            </c:numRef>
          </c:cat>
          <c:val>
            <c:numRef>
              <c:f>'Black-Scholes European'!$D$90:$D$122</c:f>
              <c:numCache>
                <c:formatCode>_(* #,##0.000_);_(* \(#,##0.000\);_(* "-"??_);_(@_)</c:formatCode>
                <c:ptCount val="33"/>
                <c:pt idx="0">
                  <c:v>67.14633059674361</c:v>
                </c:pt>
                <c:pt idx="1">
                  <c:v>62.702865351562309</c:v>
                </c:pt>
                <c:pt idx="2">
                  <c:v>58.364061099564765</c:v>
                </c:pt>
                <c:pt idx="3">
                  <c:v>54.142139910392757</c:v>
                </c:pt>
                <c:pt idx="4">
                  <c:v>50.049241100661902</c:v>
                </c:pt>
                <c:pt idx="5">
                  <c:v>46.097151450277693</c:v>
                </c:pt>
                <c:pt idx="6">
                  <c:v>42.29702978640978</c:v>
                </c:pt>
                <c:pt idx="7">
                  <c:v>38.659137305064689</c:v>
                </c:pt>
                <c:pt idx="8">
                  <c:v>35.192585033165756</c:v>
                </c:pt>
                <c:pt idx="9">
                  <c:v>31.905109163805719</c:v>
                </c:pt>
                <c:pt idx="10">
                  <c:v>28.802883673357542</c:v>
                </c:pt>
                <c:pt idx="11">
                  <c:v>25.890377752552013</c:v>
                </c:pt>
                <c:pt idx="12">
                  <c:v>23.170263296357064</c:v>
                </c:pt>
                <c:pt idx="13">
                  <c:v>20.643375168124862</c:v>
                </c:pt>
                <c:pt idx="14">
                  <c:v>18.308724361252189</c:v>
                </c:pt>
                <c:pt idx="15">
                  <c:v>16.16356170055883</c:v>
                </c:pt>
                <c:pt idx="16">
                  <c:v>14.203487510265404</c:v>
                </c:pt>
                <c:pt idx="17">
                  <c:v>12.422600849595597</c:v>
                </c:pt>
                <c:pt idx="18">
                  <c:v>10.813680566216448</c:v>
                </c:pt>
                <c:pt idx="19">
                  <c:v>9.3683895860082202</c:v>
                </c:pt>
                <c:pt idx="20">
                  <c:v>8.0774935483232753</c:v>
                </c:pt>
                <c:pt idx="21">
                  <c:v>6.9310850756672551</c:v>
                </c:pt>
                <c:pt idx="22">
                  <c:v>5.9188055726185951</c:v>
                </c:pt>
                <c:pt idx="23">
                  <c:v>5.0300573965147066</c:v>
                </c:pt>
                <c:pt idx="24">
                  <c:v>4.2542004355745888</c:v>
                </c:pt>
                <c:pt idx="25">
                  <c:v>3.580728468930829</c:v>
                </c:pt>
                <c:pt idx="26">
                  <c:v>2.9994220722016536</c:v>
                </c:pt>
                <c:pt idx="27">
                  <c:v>2.5004761870835921</c:v>
                </c:pt>
                <c:pt idx="28">
                  <c:v>2.0746017243337036</c:v>
                </c:pt>
                <c:pt idx="29">
                  <c:v>1.7131016642691392</c:v>
                </c:pt>
                <c:pt idx="30">
                  <c:v>1.4079230235254414</c:v>
                </c:pt>
                <c:pt idx="31">
                  <c:v>1.1516867545891429</c:v>
                </c:pt>
                <c:pt idx="32">
                  <c:v>0.93769813421506854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0-4F8B-A360-77E1D7C0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214703"/>
        <c:axId val="1564851791"/>
      </c:lineChart>
      <c:catAx>
        <c:axId val="1734214703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51791"/>
        <c:crosses val="autoZero"/>
        <c:auto val="1"/>
        <c:lblAlgn val="ctr"/>
        <c:lblOffset val="100"/>
        <c:noMultiLvlLbl val="0"/>
      </c:catAx>
      <c:valAx>
        <c:axId val="15648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1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</a:t>
            </a:r>
            <a:r>
              <a:rPr lang="en-US" baseline="0"/>
              <a:t> Value Sensitivity to Volatility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2039108019843"/>
          <c:y val="0.16497139881224432"/>
          <c:w val="0.84201508149137905"/>
          <c:h val="0.58964711601333797"/>
        </c:manualLayout>
      </c:layout>
      <c:lineChart>
        <c:grouping val="standard"/>
        <c:varyColors val="0"/>
        <c:ser>
          <c:idx val="0"/>
          <c:order val="0"/>
          <c:tx>
            <c:strRef>
              <c:f>'Black-Scholes European'!$H$88</c:f>
              <c:strCache>
                <c:ptCount val="1"/>
                <c:pt idx="0">
                  <c:v>Call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'Black-Scholes European'!$G$90:$G$122</c:f>
              <c:numCache>
                <c:formatCode>0.00%</c:formatCode>
                <c:ptCount val="33"/>
                <c:pt idx="0">
                  <c:v>0.05</c:v>
                </c:pt>
                <c:pt idx="1">
                  <c:v>6.0000000000000005E-2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9.9999999999999992E-2</c:v>
                </c:pt>
                <c:pt idx="6">
                  <c:v>0.10999999999999999</c:v>
                </c:pt>
                <c:pt idx="7">
                  <c:v>0.11999999999999998</c:v>
                </c:pt>
                <c:pt idx="8">
                  <c:v>0.12999999999999998</c:v>
                </c:pt>
                <c:pt idx="9">
                  <c:v>0.13999999999999999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0.18000000000000002</c:v>
                </c:pt>
                <c:pt idx="14">
                  <c:v>0.19000000000000003</c:v>
                </c:pt>
                <c:pt idx="15">
                  <c:v>0.20000000000000004</c:v>
                </c:pt>
                <c:pt idx="16">
                  <c:v>0.21000000000000005</c:v>
                </c:pt>
                <c:pt idx="17">
                  <c:v>0.22000000000000006</c:v>
                </c:pt>
                <c:pt idx="18">
                  <c:v>0.23000000000000007</c:v>
                </c:pt>
                <c:pt idx="19">
                  <c:v>0.24000000000000007</c:v>
                </c:pt>
                <c:pt idx="20">
                  <c:v>0.25000000000000006</c:v>
                </c:pt>
                <c:pt idx="21">
                  <c:v>0.26000000000000006</c:v>
                </c:pt>
                <c:pt idx="22">
                  <c:v>0.27000000000000007</c:v>
                </c:pt>
                <c:pt idx="23">
                  <c:v>0.28000000000000008</c:v>
                </c:pt>
                <c:pt idx="24">
                  <c:v>0.29000000000000009</c:v>
                </c:pt>
                <c:pt idx="25">
                  <c:v>0.3000000000000001</c:v>
                </c:pt>
                <c:pt idx="26">
                  <c:v>0.31000000000000011</c:v>
                </c:pt>
                <c:pt idx="27">
                  <c:v>0.32000000000000012</c:v>
                </c:pt>
                <c:pt idx="28">
                  <c:v>0.33000000000000013</c:v>
                </c:pt>
                <c:pt idx="29">
                  <c:v>0.34000000000000014</c:v>
                </c:pt>
                <c:pt idx="30">
                  <c:v>0.35000000000000014</c:v>
                </c:pt>
                <c:pt idx="31">
                  <c:v>0.36000000000000015</c:v>
                </c:pt>
                <c:pt idx="32">
                  <c:v>0.37000000000000016</c:v>
                </c:pt>
              </c:numCache>
            </c:numRef>
          </c:cat>
          <c:val>
            <c:numRef>
              <c:f>'Black-Scholes European'!$H$90:$H$122</c:f>
              <c:numCache>
                <c:formatCode>_(* #,##0.000_);_(* \(#,##0.000\);_(* "-"??_);_(@_)</c:formatCode>
                <c:ptCount val="33"/>
                <c:pt idx="0">
                  <c:v>4.5349556155846926</c:v>
                </c:pt>
                <c:pt idx="1">
                  <c:v>5.8423837235037013</c:v>
                </c:pt>
                <c:pt idx="2">
                  <c:v>7.1639079876092069</c:v>
                </c:pt>
                <c:pt idx="3">
                  <c:v>8.4942985736177548</c:v>
                </c:pt>
                <c:pt idx="4">
                  <c:v>9.8306101931070771</c:v>
                </c:pt>
                <c:pt idx="5">
                  <c:v>11.171058401135042</c:v>
                </c:pt>
                <c:pt idx="6">
                  <c:v>12.514498695543239</c:v>
                </c:pt>
                <c:pt idx="7">
                  <c:v>13.860162639780697</c:v>
                </c:pt>
                <c:pt idx="8">
                  <c:v>15.207514464596898</c:v>
                </c:pt>
                <c:pt idx="9">
                  <c:v>16.556168574086087</c:v>
                </c:pt>
                <c:pt idx="10">
                  <c:v>17.905839797820192</c:v>
                </c:pt>
                <c:pt idx="11">
                  <c:v>19.256312176177573</c:v>
                </c:pt>
                <c:pt idx="12">
                  <c:v>20.60741869984588</c:v>
                </c:pt>
                <c:pt idx="13">
                  <c:v>21.959027769054217</c:v>
                </c:pt>
                <c:pt idx="14">
                  <c:v>23.31103390992206</c:v>
                </c:pt>
                <c:pt idx="15">
                  <c:v>24.663351264928849</c:v>
                </c:pt>
                <c:pt idx="16">
                  <c:v>26.015908936684013</c:v>
                </c:pt>
                <c:pt idx="17">
                  <c:v>27.368647597541781</c:v>
                </c:pt>
                <c:pt idx="18">
                  <c:v>28.721516981124864</c:v>
                </c:pt>
                <c:pt idx="19">
                  <c:v>30.074473999333406</c:v>
                </c:pt>
                <c:pt idx="20">
                  <c:v>31.427481310204087</c:v>
                </c:pt>
                <c:pt idx="21">
                  <c:v>32.78050621555235</c:v>
                </c:pt>
                <c:pt idx="22">
                  <c:v>34.133519803105912</c:v>
                </c:pt>
                <c:pt idx="23">
                  <c:v>35.4864962721403</c:v>
                </c:pt>
                <c:pt idx="24">
                  <c:v>36.839412398416187</c:v>
                </c:pt>
                <c:pt idx="25">
                  <c:v>38.192247105975753</c:v>
                </c:pt>
                <c:pt idx="26">
                  <c:v>39.544981121712169</c:v>
                </c:pt>
                <c:pt idx="27">
                  <c:v>40.897596694635695</c:v>
                </c:pt>
                <c:pt idx="28">
                  <c:v>42.250077366133951</c:v>
                </c:pt>
                <c:pt idx="29">
                  <c:v>43.602407780743363</c:v>
                </c:pt>
                <c:pt idx="30">
                  <c:v>44.954573529339882</c:v>
                </c:pt>
                <c:pt idx="31">
                  <c:v>46.306561018455454</c:v>
                </c:pt>
                <c:pt idx="32">
                  <c:v>47.658357360779689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F-4CFA-9471-8C21ED73098C}"/>
            </c:ext>
          </c:extLst>
        </c:ser>
        <c:ser>
          <c:idx val="1"/>
          <c:order val="1"/>
          <c:tx>
            <c:strRef>
              <c:f>'Black-Scholes European'!$I$88</c:f>
              <c:strCache>
                <c:ptCount val="1"/>
                <c:pt idx="0">
                  <c:v>Put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'Black-Scholes European'!$G$90:$G$122</c:f>
              <c:numCache>
                <c:formatCode>0.00%</c:formatCode>
                <c:ptCount val="33"/>
                <c:pt idx="0">
                  <c:v>0.05</c:v>
                </c:pt>
                <c:pt idx="1">
                  <c:v>6.0000000000000005E-2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9.9999999999999992E-2</c:v>
                </c:pt>
                <c:pt idx="6">
                  <c:v>0.10999999999999999</c:v>
                </c:pt>
                <c:pt idx="7">
                  <c:v>0.11999999999999998</c:v>
                </c:pt>
                <c:pt idx="8">
                  <c:v>0.12999999999999998</c:v>
                </c:pt>
                <c:pt idx="9">
                  <c:v>0.13999999999999999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0.18000000000000002</c:v>
                </c:pt>
                <c:pt idx="14">
                  <c:v>0.19000000000000003</c:v>
                </c:pt>
                <c:pt idx="15">
                  <c:v>0.20000000000000004</c:v>
                </c:pt>
                <c:pt idx="16">
                  <c:v>0.21000000000000005</c:v>
                </c:pt>
                <c:pt idx="17">
                  <c:v>0.22000000000000006</c:v>
                </c:pt>
                <c:pt idx="18">
                  <c:v>0.23000000000000007</c:v>
                </c:pt>
                <c:pt idx="19">
                  <c:v>0.24000000000000007</c:v>
                </c:pt>
                <c:pt idx="20">
                  <c:v>0.25000000000000006</c:v>
                </c:pt>
                <c:pt idx="21">
                  <c:v>0.26000000000000006</c:v>
                </c:pt>
                <c:pt idx="22">
                  <c:v>0.27000000000000007</c:v>
                </c:pt>
                <c:pt idx="23">
                  <c:v>0.28000000000000008</c:v>
                </c:pt>
                <c:pt idx="24">
                  <c:v>0.29000000000000009</c:v>
                </c:pt>
                <c:pt idx="25">
                  <c:v>0.3000000000000001</c:v>
                </c:pt>
                <c:pt idx="26">
                  <c:v>0.31000000000000011</c:v>
                </c:pt>
                <c:pt idx="27">
                  <c:v>0.32000000000000012</c:v>
                </c:pt>
                <c:pt idx="28">
                  <c:v>0.33000000000000013</c:v>
                </c:pt>
                <c:pt idx="29">
                  <c:v>0.34000000000000014</c:v>
                </c:pt>
                <c:pt idx="30">
                  <c:v>0.35000000000000014</c:v>
                </c:pt>
                <c:pt idx="31">
                  <c:v>0.36000000000000015</c:v>
                </c:pt>
                <c:pt idx="32">
                  <c:v>0.37000000000000016</c:v>
                </c:pt>
              </c:numCache>
            </c:numRef>
          </c:cat>
          <c:val>
            <c:numRef>
              <c:f>'Black-Scholes European'!$I$90:$I$122</c:f>
              <c:numCache>
                <c:formatCode>_(* #,##0.000_);_(* \(#,##0.000\);_(* "-"??_);_(@_)</c:formatCode>
                <c:ptCount val="33"/>
                <c:pt idx="0">
                  <c:v>9.65086298353026</c:v>
                </c:pt>
                <c:pt idx="1">
                  <c:v>10.958291091449155</c:v>
                </c:pt>
                <c:pt idx="2">
                  <c:v>12.279815355554774</c:v>
                </c:pt>
                <c:pt idx="3">
                  <c:v>13.610205941563265</c:v>
                </c:pt>
                <c:pt idx="4">
                  <c:v>14.946517561052531</c:v>
                </c:pt>
                <c:pt idx="5">
                  <c:v>16.286965769080552</c:v>
                </c:pt>
                <c:pt idx="6">
                  <c:v>17.630406063488749</c:v>
                </c:pt>
                <c:pt idx="7">
                  <c:v>18.976070007726207</c:v>
                </c:pt>
                <c:pt idx="8">
                  <c:v>20.323421832542408</c:v>
                </c:pt>
                <c:pt idx="9">
                  <c:v>21.672075942031597</c:v>
                </c:pt>
                <c:pt idx="10">
                  <c:v>23.021747165765589</c:v>
                </c:pt>
                <c:pt idx="11">
                  <c:v>24.372219544123084</c:v>
                </c:pt>
                <c:pt idx="12">
                  <c:v>25.723326067791334</c:v>
                </c:pt>
                <c:pt idx="13">
                  <c:v>27.074935136999784</c:v>
                </c:pt>
                <c:pt idx="14">
                  <c:v>28.42694127786757</c:v>
                </c:pt>
                <c:pt idx="15">
                  <c:v>29.779258632874303</c:v>
                </c:pt>
                <c:pt idx="16">
                  <c:v>31.131816304629524</c:v>
                </c:pt>
                <c:pt idx="17">
                  <c:v>32.484554965487234</c:v>
                </c:pt>
                <c:pt idx="18">
                  <c:v>33.837424349070375</c:v>
                </c:pt>
                <c:pt idx="19">
                  <c:v>35.190381367278917</c:v>
                </c:pt>
                <c:pt idx="20">
                  <c:v>36.543388678149483</c:v>
                </c:pt>
                <c:pt idx="21">
                  <c:v>37.896413583497804</c:v>
                </c:pt>
                <c:pt idx="22">
                  <c:v>39.249427171051423</c:v>
                </c:pt>
                <c:pt idx="23">
                  <c:v>40.602403640085811</c:v>
                </c:pt>
                <c:pt idx="24">
                  <c:v>41.955319766361697</c:v>
                </c:pt>
                <c:pt idx="25">
                  <c:v>43.308154473921206</c:v>
                </c:pt>
                <c:pt idx="26">
                  <c:v>44.66088848965768</c:v>
                </c:pt>
                <c:pt idx="27">
                  <c:v>46.013504062581205</c:v>
                </c:pt>
                <c:pt idx="28">
                  <c:v>47.365984734079461</c:v>
                </c:pt>
                <c:pt idx="29">
                  <c:v>48.718315148688816</c:v>
                </c:pt>
                <c:pt idx="30">
                  <c:v>50.070480897285393</c:v>
                </c:pt>
                <c:pt idx="31">
                  <c:v>51.422468386400851</c:v>
                </c:pt>
                <c:pt idx="32">
                  <c:v>52.774264728725086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F-4CFA-9471-8C21ED73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238831"/>
        <c:axId val="1564752431"/>
      </c:lineChart>
      <c:catAx>
        <c:axId val="173423883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52431"/>
        <c:crosses val="autoZero"/>
        <c:auto val="1"/>
        <c:lblAlgn val="ctr"/>
        <c:lblOffset val="100"/>
        <c:noMultiLvlLbl val="0"/>
      </c:catAx>
      <c:valAx>
        <c:axId val="156475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3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Option Value Sensitivity to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'Black-Scholes European'!$L$88</c:f>
              <c:strCache>
                <c:ptCount val="1"/>
                <c:pt idx="0">
                  <c:v>Call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'Black-Scholes European'!$K$90:$K$122</c:f>
              <c:numCache>
                <c:formatCode>m/d/yyyy</c:formatCode>
                <c:ptCount val="33"/>
                <c:pt idx="0">
                  <c:v>46242</c:v>
                </c:pt>
                <c:pt idx="1">
                  <c:v>46244</c:v>
                </c:pt>
                <c:pt idx="2">
                  <c:v>46246</c:v>
                </c:pt>
                <c:pt idx="3">
                  <c:v>46248</c:v>
                </c:pt>
                <c:pt idx="4">
                  <c:v>46250</c:v>
                </c:pt>
                <c:pt idx="5">
                  <c:v>46252</c:v>
                </c:pt>
                <c:pt idx="6">
                  <c:v>46254</c:v>
                </c:pt>
                <c:pt idx="7">
                  <c:v>46256</c:v>
                </c:pt>
                <c:pt idx="8">
                  <c:v>46258</c:v>
                </c:pt>
                <c:pt idx="9">
                  <c:v>46260</c:v>
                </c:pt>
                <c:pt idx="10">
                  <c:v>46262</c:v>
                </c:pt>
                <c:pt idx="11">
                  <c:v>46264</c:v>
                </c:pt>
                <c:pt idx="12">
                  <c:v>46266</c:v>
                </c:pt>
                <c:pt idx="13">
                  <c:v>46268</c:v>
                </c:pt>
                <c:pt idx="14">
                  <c:v>46270</c:v>
                </c:pt>
                <c:pt idx="15">
                  <c:v>46272</c:v>
                </c:pt>
                <c:pt idx="16">
                  <c:v>46274</c:v>
                </c:pt>
                <c:pt idx="17">
                  <c:v>46276</c:v>
                </c:pt>
                <c:pt idx="18">
                  <c:v>46278</c:v>
                </c:pt>
                <c:pt idx="19">
                  <c:v>46280</c:v>
                </c:pt>
                <c:pt idx="20">
                  <c:v>46282</c:v>
                </c:pt>
                <c:pt idx="21">
                  <c:v>46284</c:v>
                </c:pt>
                <c:pt idx="22">
                  <c:v>46286</c:v>
                </c:pt>
                <c:pt idx="23">
                  <c:v>46288</c:v>
                </c:pt>
                <c:pt idx="24">
                  <c:v>46290</c:v>
                </c:pt>
                <c:pt idx="25">
                  <c:v>46292</c:v>
                </c:pt>
                <c:pt idx="26">
                  <c:v>46294</c:v>
                </c:pt>
                <c:pt idx="27">
                  <c:v>46296</c:v>
                </c:pt>
                <c:pt idx="28">
                  <c:v>46298</c:v>
                </c:pt>
                <c:pt idx="29">
                  <c:v>46300</c:v>
                </c:pt>
                <c:pt idx="30">
                  <c:v>46302</c:v>
                </c:pt>
                <c:pt idx="31">
                  <c:v>46304</c:v>
                </c:pt>
                <c:pt idx="32">
                  <c:v>46306</c:v>
                </c:pt>
              </c:numCache>
            </c:numRef>
          </c:cat>
          <c:val>
            <c:numRef>
              <c:f>'Black-Scholes European'!$L$90:$L$122</c:f>
              <c:numCache>
                <c:formatCode>General</c:formatCode>
                <c:ptCount val="33"/>
                <c:pt idx="0">
                  <c:v>18.054355928411496</c:v>
                </c:pt>
                <c:pt idx="1">
                  <c:v>17.732540161957672</c:v>
                </c:pt>
                <c:pt idx="2">
                  <c:v>17.407347903312257</c:v>
                </c:pt>
                <c:pt idx="3">
                  <c:v>17.078646274633456</c:v>
                </c:pt>
                <c:pt idx="4">
                  <c:v>16.74629339272542</c:v>
                </c:pt>
                <c:pt idx="5">
                  <c:v>16.410137491852367</c:v>
                </c:pt>
                <c:pt idx="6">
                  <c:v>16.070015933732861</c:v>
                </c:pt>
                <c:pt idx="7">
                  <c:v>15.725754086492714</c:v>
                </c:pt>
                <c:pt idx="8">
                  <c:v>15.377164050781232</c:v>
                </c:pt>
                <c:pt idx="9">
                  <c:v>15.024043206844567</c:v>
                </c:pt>
                <c:pt idx="10">
                  <c:v>14.66617255089119</c:v>
                </c:pt>
                <c:pt idx="11">
                  <c:v>14.303314782257871</c:v>
                </c:pt>
                <c:pt idx="12">
                  <c:v>13.935212094322651</c:v>
                </c:pt>
                <c:pt idx="13">
                  <c:v>13.561583611277911</c:v>
                </c:pt>
                <c:pt idx="14">
                  <c:v>13.182122399066259</c:v>
                </c:pt>
                <c:pt idx="15">
                  <c:v>12.796491961059587</c:v>
                </c:pt>
                <c:pt idx="16">
                  <c:v>12.404322106098732</c:v>
                </c:pt>
                <c:pt idx="17">
                  <c:v>12.005204046520305</c:v>
                </c:pt>
                <c:pt idx="18">
                  <c:v>11.598684544241507</c:v>
                </c:pt>
                <c:pt idx="19">
                  <c:v>11.184258870286214</c:v>
                </c:pt>
                <c:pt idx="20">
                  <c:v>10.761362272195868</c:v>
                </c:pt>
                <c:pt idx="21">
                  <c:v>10.329359547182094</c:v>
                </c:pt>
                <c:pt idx="22">
                  <c:v>9.8875321857639733</c:v>
                </c:pt>
                <c:pt idx="23">
                  <c:v>9.435062364852854</c:v>
                </c:pt>
                <c:pt idx="24">
                  <c:v>8.9710128064974697</c:v>
                </c:pt>
                <c:pt idx="25">
                  <c:v>8.4943011417665275</c:v>
                </c:pt>
                <c:pt idx="26">
                  <c:v>8.0036668716381314</c:v>
                </c:pt>
                <c:pt idx="27">
                  <c:v>7.4976282103940548</c:v>
                </c:pt>
                <c:pt idx="28">
                  <c:v>6.9744248970232547</c:v>
                </c:pt>
                <c:pt idx="29">
                  <c:v>6.4319412659295949</c:v>
                </c:pt>
                <c:pt idx="30">
                  <c:v>5.8676012106464555</c:v>
                </c:pt>
                <c:pt idx="31">
                  <c:v>5.27822291586088</c:v>
                </c:pt>
                <c:pt idx="32">
                  <c:v>4.6598167519780134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C-4000-93BA-11D3DFD4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013023"/>
        <c:axId val="1564788431"/>
      </c:lineChart>
      <c:lineChart>
        <c:grouping val="standard"/>
        <c:varyColors val="0"/>
        <c:ser>
          <c:idx val="1"/>
          <c:order val="1"/>
          <c:tx>
            <c:strRef>
              <c:f>'Black-Scholes European'!$M$88</c:f>
              <c:strCache>
                <c:ptCount val="1"/>
                <c:pt idx="0">
                  <c:v>Put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'Black-Scholes European'!$K$90:$K$122</c:f>
              <c:numCache>
                <c:formatCode>m/d/yyyy</c:formatCode>
                <c:ptCount val="33"/>
                <c:pt idx="0">
                  <c:v>46242</c:v>
                </c:pt>
                <c:pt idx="1">
                  <c:v>46244</c:v>
                </c:pt>
                <c:pt idx="2">
                  <c:v>46246</c:v>
                </c:pt>
                <c:pt idx="3">
                  <c:v>46248</c:v>
                </c:pt>
                <c:pt idx="4">
                  <c:v>46250</c:v>
                </c:pt>
                <c:pt idx="5">
                  <c:v>46252</c:v>
                </c:pt>
                <c:pt idx="6">
                  <c:v>46254</c:v>
                </c:pt>
                <c:pt idx="7">
                  <c:v>46256</c:v>
                </c:pt>
                <c:pt idx="8">
                  <c:v>46258</c:v>
                </c:pt>
                <c:pt idx="9">
                  <c:v>46260</c:v>
                </c:pt>
                <c:pt idx="10">
                  <c:v>46262</c:v>
                </c:pt>
                <c:pt idx="11">
                  <c:v>46264</c:v>
                </c:pt>
                <c:pt idx="12">
                  <c:v>46266</c:v>
                </c:pt>
                <c:pt idx="13">
                  <c:v>46268</c:v>
                </c:pt>
                <c:pt idx="14">
                  <c:v>46270</c:v>
                </c:pt>
                <c:pt idx="15">
                  <c:v>46272</c:v>
                </c:pt>
                <c:pt idx="16">
                  <c:v>46274</c:v>
                </c:pt>
                <c:pt idx="17">
                  <c:v>46276</c:v>
                </c:pt>
                <c:pt idx="18">
                  <c:v>46278</c:v>
                </c:pt>
                <c:pt idx="19">
                  <c:v>46280</c:v>
                </c:pt>
                <c:pt idx="20">
                  <c:v>46282</c:v>
                </c:pt>
                <c:pt idx="21">
                  <c:v>46284</c:v>
                </c:pt>
                <c:pt idx="22">
                  <c:v>46286</c:v>
                </c:pt>
                <c:pt idx="23">
                  <c:v>46288</c:v>
                </c:pt>
                <c:pt idx="24">
                  <c:v>46290</c:v>
                </c:pt>
                <c:pt idx="25">
                  <c:v>46292</c:v>
                </c:pt>
                <c:pt idx="26">
                  <c:v>46294</c:v>
                </c:pt>
                <c:pt idx="27">
                  <c:v>46296</c:v>
                </c:pt>
                <c:pt idx="28">
                  <c:v>46298</c:v>
                </c:pt>
                <c:pt idx="29">
                  <c:v>46300</c:v>
                </c:pt>
                <c:pt idx="30">
                  <c:v>46302</c:v>
                </c:pt>
                <c:pt idx="31">
                  <c:v>46304</c:v>
                </c:pt>
                <c:pt idx="32">
                  <c:v>46306</c:v>
                </c:pt>
              </c:numCache>
            </c:numRef>
          </c:cat>
          <c:val>
            <c:numRef>
              <c:f>'Black-Scholes European'!$M$90:$M$122</c:f>
              <c:numCache>
                <c:formatCode>General</c:formatCode>
                <c:ptCount val="33"/>
                <c:pt idx="0">
                  <c:v>23.170263296357064</c:v>
                </c:pt>
                <c:pt idx="1">
                  <c:v>22.974641200387111</c:v>
                </c:pt>
                <c:pt idx="2">
                  <c:v>22.775678023743296</c:v>
                </c:pt>
                <c:pt idx="3">
                  <c:v>22.573240896950097</c:v>
                </c:pt>
                <c:pt idx="4">
                  <c:v>22.367187945179637</c:v>
                </c:pt>
                <c:pt idx="5">
                  <c:v>22.157367411066673</c:v>
                </c:pt>
                <c:pt idx="6">
                  <c:v>21.943616664701722</c:v>
                </c:pt>
                <c:pt idx="7">
                  <c:v>21.725761082584711</c:v>
                </c:pt>
                <c:pt idx="8">
                  <c:v>21.503612773740656</c:v>
                </c:pt>
                <c:pt idx="9">
                  <c:v>21.276969126793972</c:v>
                </c:pt>
                <c:pt idx="10">
                  <c:v>21.045611146332533</c:v>
                </c:pt>
                <c:pt idx="11">
                  <c:v>20.809301540074557</c:v>
                </c:pt>
                <c:pt idx="12">
                  <c:v>20.567782509782091</c:v>
                </c:pt>
                <c:pt idx="13">
                  <c:v>20.320773188032717</c:v>
                </c:pt>
                <c:pt idx="14">
                  <c:v>20.067966649156517</c:v>
                </c:pt>
                <c:pt idx="15">
                  <c:v>19.809026404914562</c:v>
                </c:pt>
                <c:pt idx="16">
                  <c:v>19.543582272539084</c:v>
                </c:pt>
                <c:pt idx="17">
                  <c:v>19.271225472759454</c:v>
                </c:pt>
                <c:pt idx="18">
                  <c:v>18.991502775888364</c:v>
                </c:pt>
                <c:pt idx="19">
                  <c:v>18.703909461346313</c:v>
                </c:pt>
                <c:pt idx="20">
                  <c:v>18.407880785073587</c:v>
                </c:pt>
                <c:pt idx="21">
                  <c:v>18.1027815526827</c:v>
                </c:pt>
                <c:pt idx="22">
                  <c:v>17.787893263095384</c:v>
                </c:pt>
                <c:pt idx="23">
                  <c:v>17.4623981016274</c:v>
                </c:pt>
                <c:pt idx="24">
                  <c:v>17.125358798734283</c:v>
                </c:pt>
                <c:pt idx="25">
                  <c:v>16.77569299389296</c:v>
                </c:pt>
                <c:pt idx="26">
                  <c:v>16.412140196491862</c:v>
                </c:pt>
                <c:pt idx="27">
                  <c:v>16.033218629225189</c:v>
                </c:pt>
                <c:pt idx="28">
                  <c:v>15.637168039495918</c:v>
                </c:pt>
                <c:pt idx="29">
                  <c:v>15.221872770124151</c:v>
                </c:pt>
                <c:pt idx="30">
                  <c:v>14.78475672306098</c:v>
                </c:pt>
                <c:pt idx="31">
                  <c:v>14.322638091413523</c:v>
                </c:pt>
                <c:pt idx="32">
                  <c:v>13.831527254008904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DC-4000-93BA-11D3DFD4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1966159"/>
        <c:axId val="1564783631"/>
      </c:lineChart>
      <c:dateAx>
        <c:axId val="17520130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crossAx val="1564788431"/>
        <c:crosses val="autoZero"/>
        <c:auto val="1"/>
        <c:lblOffset val="100"/>
        <c:baseTimeUnit val="days"/>
      </c:dateAx>
      <c:valAx>
        <c:axId val="15647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13023"/>
        <c:crosses val="autoZero"/>
        <c:crossBetween val="between"/>
      </c:valAx>
      <c:valAx>
        <c:axId val="15647836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66159"/>
        <c:crosses val="max"/>
        <c:crossBetween val="between"/>
      </c:valAx>
      <c:dateAx>
        <c:axId val="17519661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6478363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Volatility Term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'Modified Black-Scholes'!$B$79</c:f>
              <c:strCache>
                <c:ptCount val="1"/>
                <c:pt idx="0">
                  <c:v>650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'Modified Black-Scholes'!$C$79:$F$79</c:f>
              <c:numCache>
                <c:formatCode>0.00%</c:formatCode>
                <c:ptCount val="4"/>
                <c:pt idx="0">
                  <c:v>0.28010000000000002</c:v>
                </c:pt>
                <c:pt idx="1">
                  <c:v>0.25119999999999998</c:v>
                </c:pt>
                <c:pt idx="2">
                  <c:v>0.24199999999999999</c:v>
                </c:pt>
                <c:pt idx="3">
                  <c:v>0.23139999999999999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'Modified Black-Scholes'!$C$77:$F$77</c15:sqref>
                        </c15:formulaRef>
                      </c:ext>
                    </c:extLst>
                    <c:strCache>
                      <c:ptCount val="4"/>
                      <c:pt idx="0">
                        <c:v>1-Month</c:v>
                      </c:pt>
                      <c:pt idx="1">
                        <c:v>3-Month</c:v>
                      </c:pt>
                      <c:pt idx="2">
                        <c:v>6-Month</c:v>
                      </c:pt>
                      <c:pt idx="3">
                        <c:v>12-Month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C0F-41D5-A793-F67441F15441}"/>
            </c:ext>
          </c:extLst>
        </c:ser>
        <c:ser>
          <c:idx val="1"/>
          <c:order val="1"/>
          <c:tx>
            <c:strRef>
              <c:f>'Modified Black-Scholes'!$B$80</c:f>
              <c:strCache>
                <c:ptCount val="1"/>
                <c:pt idx="0">
                  <c:v>700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'Modified Black-Scholes'!$C$80:$F$80</c:f>
              <c:numCache>
                <c:formatCode>0.00%</c:formatCode>
                <c:ptCount val="4"/>
                <c:pt idx="0">
                  <c:v>0.2142</c:v>
                </c:pt>
                <c:pt idx="1">
                  <c:v>0.20749999999999999</c:v>
                </c:pt>
                <c:pt idx="2">
                  <c:v>0.2054</c:v>
                </c:pt>
                <c:pt idx="3">
                  <c:v>0.2089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'Modified Black-Scholes'!$C$77:$F$77</c15:sqref>
                        </c15:formulaRef>
                      </c:ext>
                    </c:extLst>
                    <c:strCache>
                      <c:ptCount val="4"/>
                      <c:pt idx="0">
                        <c:v>1-Month</c:v>
                      </c:pt>
                      <c:pt idx="1">
                        <c:v>3-Month</c:v>
                      </c:pt>
                      <c:pt idx="2">
                        <c:v>6-Month</c:v>
                      </c:pt>
                      <c:pt idx="3">
                        <c:v>12-Month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C0F-41D5-A793-F67441F15441}"/>
            </c:ext>
          </c:extLst>
        </c:ser>
        <c:ser>
          <c:idx val="2"/>
          <c:order val="2"/>
          <c:tx>
            <c:strRef>
              <c:f>'Modified Black-Scholes'!$B$81</c:f>
              <c:strCache>
                <c:ptCount val="1"/>
                <c:pt idx="0">
                  <c:v>750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'Modified Black-Scholes'!$C$81:$F$81</c:f>
              <c:numCache>
                <c:formatCode>0.00%</c:formatCode>
                <c:ptCount val="4"/>
                <c:pt idx="0">
                  <c:v>0.15570000000000001</c:v>
                </c:pt>
                <c:pt idx="1">
                  <c:v>0.16639999999999999</c:v>
                </c:pt>
                <c:pt idx="2">
                  <c:v>0.1709</c:v>
                </c:pt>
                <c:pt idx="3">
                  <c:v>0.1867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'Modified Black-Scholes'!$C$77:$F$77</c15:sqref>
                        </c15:formulaRef>
                      </c:ext>
                    </c:extLst>
                    <c:strCache>
                      <c:ptCount val="4"/>
                      <c:pt idx="0">
                        <c:v>1-Month</c:v>
                      </c:pt>
                      <c:pt idx="1">
                        <c:v>3-Month</c:v>
                      </c:pt>
                      <c:pt idx="2">
                        <c:v>6-Month</c:v>
                      </c:pt>
                      <c:pt idx="3">
                        <c:v>12-Month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C0F-41D5-A793-F67441F15441}"/>
            </c:ext>
          </c:extLst>
        </c:ser>
        <c:ser>
          <c:idx val="3"/>
          <c:order val="3"/>
          <c:tx>
            <c:strRef>
              <c:f>'Modified Black-Scholes'!$B$82</c:f>
              <c:strCache>
                <c:ptCount val="1"/>
                <c:pt idx="0">
                  <c:v>770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'Modified Black-Scholes'!$C$82:$F$82</c:f>
              <c:numCache>
                <c:formatCode>0.00%</c:formatCode>
                <c:ptCount val="4"/>
                <c:pt idx="0">
                  <c:v>0.13850000000000001</c:v>
                </c:pt>
                <c:pt idx="1">
                  <c:v>0.153</c:v>
                </c:pt>
                <c:pt idx="2">
                  <c:v>0.15890000000000001</c:v>
                </c:pt>
                <c:pt idx="3">
                  <c:v>0.17799999999999999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'Modified Black-Scholes'!$C$77:$F$77</c15:sqref>
                        </c15:formulaRef>
                      </c:ext>
                    </c:extLst>
                    <c:strCache>
                      <c:ptCount val="4"/>
                      <c:pt idx="0">
                        <c:v>1-Month</c:v>
                      </c:pt>
                      <c:pt idx="1">
                        <c:v>3-Month</c:v>
                      </c:pt>
                      <c:pt idx="2">
                        <c:v>6-Month</c:v>
                      </c:pt>
                      <c:pt idx="3">
                        <c:v>12-Month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C0F-41D5-A793-F67441F15441}"/>
            </c:ext>
          </c:extLst>
        </c:ser>
        <c:ser>
          <c:idx val="4"/>
          <c:order val="4"/>
          <c:tx>
            <c:strRef>
              <c:f>'Modified Black-Scholes'!$B$83</c:f>
              <c:strCache>
                <c:ptCount val="1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'Modified Black-Scholes'!$C$83:$F$83</c:f>
              <c:numCache>
                <c:formatCode>0.00%</c:formatCode>
                <c:ptCount val="4"/>
                <c:pt idx="0">
                  <c:v>0.11799999999999999</c:v>
                </c:pt>
                <c:pt idx="1">
                  <c:v>0.1391</c:v>
                </c:pt>
                <c:pt idx="2">
                  <c:v>0.14779999999999999</c:v>
                </c:pt>
                <c:pt idx="3">
                  <c:v>0.18529999999999999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'Modified Black-Scholes'!$C$77:$F$77</c15:sqref>
                        </c15:formulaRef>
                      </c:ext>
                    </c:extLst>
                    <c:strCache>
                      <c:ptCount val="4"/>
                      <c:pt idx="0">
                        <c:v>1-Month</c:v>
                      </c:pt>
                      <c:pt idx="1">
                        <c:v>3-Month</c:v>
                      </c:pt>
                      <c:pt idx="2">
                        <c:v>6-Month</c:v>
                      </c:pt>
                      <c:pt idx="3">
                        <c:v>12-Month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C0F-41D5-A793-F67441F15441}"/>
            </c:ext>
          </c:extLst>
        </c:ser>
        <c:ser>
          <c:idx val="5"/>
          <c:order val="5"/>
          <c:tx>
            <c:strRef>
              <c:f>'Modified Black-Scholes'!$B$84</c:f>
              <c:strCache>
                <c:ptCount val="1"/>
                <c:pt idx="0">
                  <c:v>850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'Modified Black-Scholes'!$C$84:$F$84</c:f>
              <c:numCache>
                <c:formatCode>0.00%</c:formatCode>
                <c:ptCount val="4"/>
                <c:pt idx="0">
                  <c:v>0.12570000000000001</c:v>
                </c:pt>
                <c:pt idx="1">
                  <c:v>0.1275</c:v>
                </c:pt>
                <c:pt idx="2">
                  <c:v>0.13400000000000001</c:v>
                </c:pt>
                <c:pt idx="3">
                  <c:v>0.16589999999999999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'Modified Black-Scholes'!$C$77:$F$77</c15:sqref>
                        </c15:formulaRef>
                      </c:ext>
                    </c:extLst>
                    <c:strCache>
                      <c:ptCount val="4"/>
                      <c:pt idx="0">
                        <c:v>1-Month</c:v>
                      </c:pt>
                      <c:pt idx="1">
                        <c:v>3-Month</c:v>
                      </c:pt>
                      <c:pt idx="2">
                        <c:v>6-Month</c:v>
                      </c:pt>
                      <c:pt idx="3">
                        <c:v>12-Month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C0F-41D5-A793-F67441F15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684159"/>
        <c:axId val="1886327535"/>
      </c:lineChart>
      <c:catAx>
        <c:axId val="18966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27535"/>
        <c:crosses val="autoZero"/>
        <c:auto val="1"/>
        <c:lblAlgn val="ctr"/>
        <c:lblOffset val="100"/>
        <c:noMultiLvlLbl val="0"/>
      </c:catAx>
      <c:valAx>
        <c:axId val="1886327535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84159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Volatility Skew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'Modified Black-Scholes'!$C$77</c:f>
              <c:strCache>
                <c:ptCount val="1"/>
                <c:pt idx="0">
                  <c:v>1-Month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'Modified Black-Scholes'!$B$79:$B$84</c:f>
              <c:numCache>
                <c:formatCode>General</c:formatCode>
                <c:ptCount val="6"/>
                <c:pt idx="0">
                  <c:v>650</c:v>
                </c:pt>
                <c:pt idx="1">
                  <c:v>700</c:v>
                </c:pt>
                <c:pt idx="2">
                  <c:v>750</c:v>
                </c:pt>
                <c:pt idx="3">
                  <c:v>770</c:v>
                </c:pt>
                <c:pt idx="4">
                  <c:v>800</c:v>
                </c:pt>
                <c:pt idx="5">
                  <c:v>850</c:v>
                </c:pt>
              </c:numCache>
            </c:numRef>
          </c:cat>
          <c:val>
            <c:numRef>
              <c:f>'Modified Black-Scholes'!$C$79:$C$84</c:f>
              <c:numCache>
                <c:formatCode>0.00%</c:formatCode>
                <c:ptCount val="6"/>
                <c:pt idx="0">
                  <c:v>0.28010000000000002</c:v>
                </c:pt>
                <c:pt idx="1">
                  <c:v>0.2142</c:v>
                </c:pt>
                <c:pt idx="2">
                  <c:v>0.15570000000000001</c:v>
                </c:pt>
                <c:pt idx="3">
                  <c:v>0.13850000000000001</c:v>
                </c:pt>
                <c:pt idx="4">
                  <c:v>0.11799999999999999</c:v>
                </c:pt>
                <c:pt idx="5">
                  <c:v>0.12570000000000001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F-4421-AFB8-AB12BA372F12}"/>
            </c:ext>
          </c:extLst>
        </c:ser>
        <c:ser>
          <c:idx val="1"/>
          <c:order val="1"/>
          <c:tx>
            <c:strRef>
              <c:f>'Modified Black-Scholes'!$D$77</c:f>
              <c:strCache>
                <c:ptCount val="1"/>
                <c:pt idx="0">
                  <c:v>3-Month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'Modified Black-Scholes'!$B$79:$B$84</c:f>
              <c:numCache>
                <c:formatCode>General</c:formatCode>
                <c:ptCount val="6"/>
                <c:pt idx="0">
                  <c:v>650</c:v>
                </c:pt>
                <c:pt idx="1">
                  <c:v>700</c:v>
                </c:pt>
                <c:pt idx="2">
                  <c:v>750</c:v>
                </c:pt>
                <c:pt idx="3">
                  <c:v>770</c:v>
                </c:pt>
                <c:pt idx="4">
                  <c:v>800</c:v>
                </c:pt>
                <c:pt idx="5">
                  <c:v>850</c:v>
                </c:pt>
              </c:numCache>
            </c:numRef>
          </c:cat>
          <c:val>
            <c:numRef>
              <c:f>'Modified Black-Scholes'!$D$79:$D$84</c:f>
              <c:numCache>
                <c:formatCode>0.00%</c:formatCode>
                <c:ptCount val="6"/>
                <c:pt idx="0">
                  <c:v>0.25119999999999998</c:v>
                </c:pt>
                <c:pt idx="1">
                  <c:v>0.20749999999999999</c:v>
                </c:pt>
                <c:pt idx="2">
                  <c:v>0.16639999999999999</c:v>
                </c:pt>
                <c:pt idx="3">
                  <c:v>0.153</c:v>
                </c:pt>
                <c:pt idx="4">
                  <c:v>0.1391</c:v>
                </c:pt>
                <c:pt idx="5">
                  <c:v>0.1275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F-4421-AFB8-AB12BA372F12}"/>
            </c:ext>
          </c:extLst>
        </c:ser>
        <c:ser>
          <c:idx val="2"/>
          <c:order val="2"/>
          <c:tx>
            <c:strRef>
              <c:f>'Modified Black-Scholes'!$E$77</c:f>
              <c:strCache>
                <c:ptCount val="1"/>
                <c:pt idx="0">
                  <c:v>6-Month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'Modified Black-Scholes'!$B$79:$B$84</c:f>
              <c:numCache>
                <c:formatCode>General</c:formatCode>
                <c:ptCount val="6"/>
                <c:pt idx="0">
                  <c:v>650</c:v>
                </c:pt>
                <c:pt idx="1">
                  <c:v>700</c:v>
                </c:pt>
                <c:pt idx="2">
                  <c:v>750</c:v>
                </c:pt>
                <c:pt idx="3">
                  <c:v>770</c:v>
                </c:pt>
                <c:pt idx="4">
                  <c:v>800</c:v>
                </c:pt>
                <c:pt idx="5">
                  <c:v>850</c:v>
                </c:pt>
              </c:numCache>
            </c:numRef>
          </c:cat>
          <c:val>
            <c:numRef>
              <c:f>'Modified Black-Scholes'!$E$79:$E$84</c:f>
              <c:numCache>
                <c:formatCode>0.00%</c:formatCode>
                <c:ptCount val="6"/>
                <c:pt idx="0">
                  <c:v>0.24199999999999999</c:v>
                </c:pt>
                <c:pt idx="1">
                  <c:v>0.2054</c:v>
                </c:pt>
                <c:pt idx="2">
                  <c:v>0.1709</c:v>
                </c:pt>
                <c:pt idx="3">
                  <c:v>0.15890000000000001</c:v>
                </c:pt>
                <c:pt idx="4">
                  <c:v>0.14779999999999999</c:v>
                </c:pt>
                <c:pt idx="5">
                  <c:v>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3F-4421-AFB8-AB12BA372F12}"/>
            </c:ext>
          </c:extLst>
        </c:ser>
        <c:ser>
          <c:idx val="3"/>
          <c:order val="3"/>
          <c:tx>
            <c:strRef>
              <c:f>'Modified Black-Scholes'!$F$77</c:f>
              <c:strCache>
                <c:ptCount val="1"/>
                <c:pt idx="0">
                  <c:v>12-Month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'Modified Black-Scholes'!$B$79:$B$84</c:f>
              <c:numCache>
                <c:formatCode>General</c:formatCode>
                <c:ptCount val="6"/>
                <c:pt idx="0">
                  <c:v>650</c:v>
                </c:pt>
                <c:pt idx="1">
                  <c:v>700</c:v>
                </c:pt>
                <c:pt idx="2">
                  <c:v>750</c:v>
                </c:pt>
                <c:pt idx="3">
                  <c:v>770</c:v>
                </c:pt>
                <c:pt idx="4">
                  <c:v>800</c:v>
                </c:pt>
                <c:pt idx="5">
                  <c:v>850</c:v>
                </c:pt>
              </c:numCache>
            </c:numRef>
          </c:cat>
          <c:val>
            <c:numRef>
              <c:f>'Modified Black-Scholes'!$F$79:$F$84</c:f>
              <c:numCache>
                <c:formatCode>0.00%</c:formatCode>
                <c:ptCount val="6"/>
                <c:pt idx="0">
                  <c:v>0.23139999999999999</c:v>
                </c:pt>
                <c:pt idx="1">
                  <c:v>0.2089</c:v>
                </c:pt>
                <c:pt idx="2">
                  <c:v>0.1867</c:v>
                </c:pt>
                <c:pt idx="3">
                  <c:v>0.17799999999999999</c:v>
                </c:pt>
                <c:pt idx="4">
                  <c:v>0.18529999999999999</c:v>
                </c:pt>
                <c:pt idx="5">
                  <c:v>0.16589999999999999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3F-4421-AFB8-AB12BA372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291119"/>
        <c:axId val="1136309295"/>
      </c:lineChart>
      <c:catAx>
        <c:axId val="177529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09295"/>
        <c:crosses val="autoZero"/>
        <c:auto val="1"/>
        <c:lblAlgn val="ctr"/>
        <c:lblOffset val="100"/>
        <c:noMultiLvlLbl val="0"/>
      </c:catAx>
      <c:valAx>
        <c:axId val="1136309295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91119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</a:t>
            </a:r>
            <a:r>
              <a:rPr lang="en-US" baseline="0"/>
              <a:t> - PnL Heatmap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'Modified Black-Scholes'!$C$222</c:f>
              <c:strCache>
                <c:ptCount val="1"/>
                <c:pt idx="0">
                  <c:v>12.00%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Black-Scholes'!$C$223:$C$240</c:f>
              <c:numCache>
                <c:formatCode>0.00</c:formatCode>
                <c:ptCount val="18"/>
                <c:pt idx="0">
                  <c:v>0.10389326565880896</c:v>
                </c:pt>
                <c:pt idx="1">
                  <c:v>0.33491308005106646</c:v>
                </c:pt>
                <c:pt idx="2">
                  <c:v>0.92237794139532525</c:v>
                </c:pt>
                <c:pt idx="3">
                  <c:v>2.2027718187860046</c:v>
                </c:pt>
                <c:pt idx="4">
                  <c:v>4.6280893814812316</c:v>
                </c:pt>
                <c:pt idx="5">
                  <c:v>8.6767805867374079</c:v>
                </c:pt>
                <c:pt idx="6">
                  <c:v>14.718357986960882</c:v>
                </c:pt>
                <c:pt idx="7">
                  <c:v>22.895771216681567</c:v>
                </c:pt>
                <c:pt idx="8">
                  <c:v>33.087040277854499</c:v>
                </c:pt>
                <c:pt idx="9">
                  <c:v>44.96095561885204</c:v>
                </c:pt>
                <c:pt idx="10">
                  <c:v>58.089118999331504</c:v>
                </c:pt>
                <c:pt idx="11">
                  <c:v>72.056611503689169</c:v>
                </c:pt>
                <c:pt idx="12">
                  <c:v>86.531323945002555</c:v>
                </c:pt>
                <c:pt idx="13">
                  <c:v>101.28437319608145</c:v>
                </c:pt>
                <c:pt idx="14">
                  <c:v>116.17683468018993</c:v>
                </c:pt>
                <c:pt idx="15">
                  <c:v>131.13334248658794</c:v>
                </c:pt>
                <c:pt idx="16">
                  <c:v>146.11696028810286</c:v>
                </c:pt>
                <c:pt idx="17">
                  <c:v>161.11119666881143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C-4ED7-ABD0-B91D52C7169E}"/>
            </c:ext>
          </c:extLst>
        </c:ser>
        <c:ser>
          <c:idx val="1"/>
          <c:order val="1"/>
          <c:tx>
            <c:strRef>
              <c:f>'Modified Black-Scholes'!$D$222</c:f>
              <c:strCache>
                <c:ptCount val="1"/>
                <c:pt idx="0">
                  <c:v>14.00%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Black-Scholes'!$D$223:$D$240</c:f>
              <c:numCache>
                <c:formatCode>0.00</c:formatCode>
                <c:ptCount val="18"/>
                <c:pt idx="0">
                  <c:v>0.32560398611812857</c:v>
                </c:pt>
                <c:pt idx="1">
                  <c:v>0.81252676284751857</c:v>
                </c:pt>
                <c:pt idx="2">
                  <c:v>1.8089319273921944</c:v>
                </c:pt>
                <c:pt idx="3">
                  <c:v>3.6314697590592289</c:v>
                </c:pt>
                <c:pt idx="4">
                  <c:v>6.6417403031360323</c:v>
                </c:pt>
                <c:pt idx="5">
                  <c:v>11.176958371281131</c:v>
                </c:pt>
                <c:pt idx="6">
                  <c:v>17.472345496180253</c:v>
                </c:pt>
                <c:pt idx="7">
                  <c:v>25.605580904793669</c:v>
                </c:pt>
                <c:pt idx="8">
                  <c:v>35.484746936740635</c:v>
                </c:pt>
                <c:pt idx="9">
                  <c:v>46.881109793269616</c:v>
                </c:pt>
                <c:pt idx="10">
                  <c:v>59.489558403898968</c:v>
                </c:pt>
                <c:pt idx="11">
                  <c:v>72.992415735242162</c:v>
                </c:pt>
                <c:pt idx="12">
                  <c:v>87.107555874269224</c:v>
                </c:pt>
                <c:pt idx="13">
                  <c:v>101.61314225408557</c:v>
                </c:pt>
                <c:pt idx="14">
                  <c:v>116.35155406434978</c:v>
                </c:pt>
                <c:pt idx="15">
                  <c:v>131.22025915975178</c:v>
                </c:pt>
                <c:pt idx="16">
                  <c:v>146.1576239665128</c:v>
                </c:pt>
                <c:pt idx="17">
                  <c:v>161.12916677092699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C-4ED7-ABD0-B91D52C7169E}"/>
            </c:ext>
          </c:extLst>
        </c:ser>
        <c:ser>
          <c:idx val="2"/>
          <c:order val="2"/>
          <c:tx>
            <c:strRef>
              <c:f>'Modified Black-Scholes'!$E$222</c:f>
              <c:strCache>
                <c:ptCount val="1"/>
                <c:pt idx="0">
                  <c:v>16.00%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Black-Scholes'!$E$223:$E$240</c:f>
              <c:numCache>
                <c:formatCode>0.00</c:formatCode>
                <c:ptCount val="18"/>
                <c:pt idx="0">
                  <c:v>0.73227086734782176</c:v>
                </c:pt>
                <c:pt idx="1">
                  <c:v>1.5406489732451476</c:v>
                </c:pt>
                <c:pt idx="2">
                  <c:v>2.9726366477228368</c:v>
                </c:pt>
                <c:pt idx="3">
                  <c:v>5.3022043008232345</c:v>
                </c:pt>
                <c:pt idx="4">
                  <c:v>8.8095607566815204</c:v>
                </c:pt>
                <c:pt idx="5">
                  <c:v>13.733737991719806</c:v>
                </c:pt>
                <c:pt idx="6">
                  <c:v>20.22849587079412</c:v>
                </c:pt>
                <c:pt idx="7">
                  <c:v>28.335340693618775</c:v>
                </c:pt>
                <c:pt idx="8">
                  <c:v>37.981186085789318</c:v>
                </c:pt>
                <c:pt idx="9">
                  <c:v>48.999229578391805</c:v>
                </c:pt>
                <c:pt idx="10">
                  <c:v>61.164384591515613</c:v>
                </c:pt>
                <c:pt idx="11">
                  <c:v>74.231891204166914</c:v>
                </c:pt>
                <c:pt idx="12">
                  <c:v>87.96958214816857</c:v>
                </c:pt>
                <c:pt idx="13">
                  <c:v>102.17871993049437</c:v>
                </c:pt>
                <c:pt idx="14">
                  <c:v>116.70290438025881</c:v>
                </c:pt>
                <c:pt idx="15">
                  <c:v>131.42763912154294</c:v>
                </c:pt>
                <c:pt idx="16">
                  <c:v>146.27430242309003</c:v>
                </c:pt>
                <c:pt idx="17">
                  <c:v>161.19193647245152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C-4ED7-ABD0-B91D52C7169E}"/>
            </c:ext>
          </c:extLst>
        </c:ser>
        <c:ser>
          <c:idx val="3"/>
          <c:order val="3"/>
          <c:tx>
            <c:strRef>
              <c:f>'Modified Black-Scholes'!$F$222</c:f>
              <c:strCache>
                <c:ptCount val="1"/>
                <c:pt idx="0">
                  <c:v>18.00%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Black-Scholes'!$F$223:$F$240</c:f>
              <c:numCache>
                <c:formatCode>0.00</c:formatCode>
                <c:ptCount val="18"/>
                <c:pt idx="0">
                  <c:v>1.3439177247698169</c:v>
                </c:pt>
                <c:pt idx="1">
                  <c:v>2.506832059077837</c:v>
                </c:pt>
                <c:pt idx="2">
                  <c:v>4.368692670886702</c:v>
                </c:pt>
                <c:pt idx="3">
                  <c:v>7.157005425084435</c:v>
                </c:pt>
                <c:pt idx="4">
                  <c:v>11.086626683276251</c:v>
                </c:pt>
                <c:pt idx="5">
                  <c:v>16.328787064319215</c:v>
                </c:pt>
                <c:pt idx="6">
                  <c:v>22.985888513326472</c:v>
                </c:pt>
                <c:pt idx="7">
                  <c:v>31.078284104000545</c:v>
                </c:pt>
                <c:pt idx="8">
                  <c:v>40.54555214117994</c:v>
                </c:pt>
                <c:pt idx="9">
                  <c:v>51.260600560389662</c:v>
                </c:pt>
                <c:pt idx="10">
                  <c:v>63.051879383026971</c:v>
                </c:pt>
                <c:pt idx="11">
                  <c:v>75.727888103757664</c:v>
                </c:pt>
                <c:pt idx="12">
                  <c:v>89.09895099513983</c:v>
                </c:pt>
                <c:pt idx="13">
                  <c:v>102.99315282304576</c:v>
                </c:pt>
                <c:pt idx="14">
                  <c:v>117.26546937283229</c:v>
                </c:pt>
                <c:pt idx="15">
                  <c:v>131.80080738927086</c:v>
                </c:pt>
                <c:pt idx="16">
                  <c:v>146.51259186145489</c:v>
                </c:pt>
                <c:pt idx="17">
                  <c:v>161.33875013222723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C-4ED7-ABD0-B91D52C7169E}"/>
            </c:ext>
          </c:extLst>
        </c:ser>
        <c:ser>
          <c:idx val="4"/>
          <c:order val="4"/>
          <c:tx>
            <c:strRef>
              <c:f>'Modified Black-Scholes'!$G$222</c:f>
              <c:strCache>
                <c:ptCount val="1"/>
                <c:pt idx="0">
                  <c:v>20.00%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Black-Scholes'!$G$223:$G$240</c:f>
              <c:numCache>
                <c:formatCode>0.00</c:formatCode>
                <c:ptCount val="18"/>
                <c:pt idx="0">
                  <c:v>2.1589432525494772</c:v>
                </c:pt>
                <c:pt idx="1">
                  <c:v>3.6853147389176968</c:v>
                </c:pt>
                <c:pt idx="2">
                  <c:v>5.9548115378194098</c:v>
                </c:pt>
                <c:pt idx="3">
                  <c:v>9.1526289595487924</c:v>
                </c:pt>
                <c:pt idx="4">
                  <c:v>13.443297818751006</c:v>
                </c:pt>
                <c:pt idx="5">
                  <c:v>18.950775531254862</c:v>
                </c:pt>
                <c:pt idx="6">
                  <c:v>25.74394641307623</c:v>
                </c:pt>
                <c:pt idx="7">
                  <c:v>33.830290275392485</c:v>
                </c:pt>
                <c:pt idx="8">
                  <c:v>43.158386111196251</c:v>
                </c:pt>
                <c:pt idx="9">
                  <c:v>53.627884861109465</c:v>
                </c:pt>
                <c:pt idx="10">
                  <c:v>65.10421229831968</c:v>
                </c:pt>
                <c:pt idx="11">
                  <c:v>77.434814565303782</c:v>
                </c:pt>
                <c:pt idx="12">
                  <c:v>90.464148374741626</c:v>
                </c:pt>
                <c:pt idx="13">
                  <c:v>104.04553021035667</c:v>
                </c:pt>
                <c:pt idx="14">
                  <c:v>118.04901940081731</c:v>
                </c:pt>
                <c:pt idx="15">
                  <c:v>132.36542004984562</c:v>
                </c:pt>
                <c:pt idx="16">
                  <c:v>146.90708723468845</c:v>
                </c:pt>
                <c:pt idx="17">
                  <c:v>161.60648927135992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C-4ED7-ABD0-B91D52C7169E}"/>
            </c:ext>
          </c:extLst>
        </c:ser>
        <c:ser>
          <c:idx val="5"/>
          <c:order val="5"/>
          <c:tx>
            <c:strRef>
              <c:f>'Modified Black-Scholes'!$H$222</c:f>
              <c:strCache>
                <c:ptCount val="1"/>
                <c:pt idx="0">
                  <c:v>22.00%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Black-Scholes'!$H$223:$H$240</c:f>
              <c:numCache>
                <c:formatCode>0.00</c:formatCode>
                <c:ptCount val="18"/>
                <c:pt idx="0">
                  <c:v>3.1637089666227922</c:v>
                </c:pt>
                <c:pt idx="1">
                  <c:v>5.047232030343153</c:v>
                </c:pt>
                <c:pt idx="2">
                  <c:v>7.695289790887557</c:v>
                </c:pt>
                <c:pt idx="3">
                  <c:v>11.257261289169548</c:v>
                </c:pt>
                <c:pt idx="4">
                  <c:v>15.859444571651352</c:v>
                </c:pt>
                <c:pt idx="5">
                  <c:v>21.592334690398388</c:v>
                </c:pt>
                <c:pt idx="6">
                  <c:v>28.50228026375953</c:v>
                </c:pt>
                <c:pt idx="7">
                  <c:v>36.58869860545326</c:v>
                </c:pt>
                <c:pt idx="8">
                  <c:v>45.806850951476463</c:v>
                </c:pt>
                <c:pt idx="9">
                  <c:v>56.075152100877631</c:v>
                </c:pt>
                <c:pt idx="10">
                  <c:v>67.285344876560202</c:v>
                </c:pt>
                <c:pt idx="11">
                  <c:v>79.313687800848584</c:v>
                </c:pt>
                <c:pt idx="12">
                  <c:v>92.031522690671636</c:v>
                </c:pt>
                <c:pt idx="13">
                  <c:v>105.31406042035951</c:v>
                </c:pt>
                <c:pt idx="14">
                  <c:v>119.04678019766959</c:v>
                </c:pt>
                <c:pt idx="15">
                  <c:v>133.12934269273137</c:v>
                </c:pt>
                <c:pt idx="16">
                  <c:v>147.47728784435162</c:v>
                </c:pt>
                <c:pt idx="17">
                  <c:v>162.02199827068216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EC-4ED7-ABD0-B91D52C7169E}"/>
            </c:ext>
          </c:extLst>
        </c:ser>
        <c:ser>
          <c:idx val="6"/>
          <c:order val="6"/>
          <c:tx>
            <c:strRef>
              <c:f>'Modified Black-Scholes'!$I$222</c:f>
              <c:strCache>
                <c:ptCount val="1"/>
                <c:pt idx="0">
                  <c:v>24.00%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Black-Scholes'!$I$223:$I$240</c:f>
              <c:numCache>
                <c:formatCode>0.00</c:formatCode>
                <c:ptCount val="18"/>
                <c:pt idx="0">
                  <c:v>4.3394671812758787</c:v>
                </c:pt>
                <c:pt idx="1">
                  <c:v>6.5653088107345638</c:v>
                </c:pt>
                <c:pt idx="2">
                  <c:v>9.5612740935935676</c:v>
                </c:pt>
                <c:pt idx="3">
                  <c:v>13.447411043772149</c:v>
                </c:pt>
                <c:pt idx="4">
                  <c:v>18.321002427602735</c:v>
                </c:pt>
                <c:pt idx="5">
                  <c:v>24.248465711804386</c:v>
                </c:pt>
                <c:pt idx="6">
                  <c:v>31.260610384022129</c:v>
                </c:pt>
                <c:pt idx="7">
                  <c:v>39.351707364279093</c:v>
                </c:pt>
                <c:pt idx="8">
                  <c:v>48.482156160547902</c:v>
                </c:pt>
                <c:pt idx="9">
                  <c:v>58.584000443926811</c:v>
                </c:pt>
                <c:pt idx="10">
                  <c:v>69.568232002349873</c:v>
                </c:pt>
                <c:pt idx="11">
                  <c:v>81.332754984558164</c:v>
                </c:pt>
                <c:pt idx="12">
                  <c:v>93.770016389802436</c:v>
                </c:pt>
                <c:pt idx="13">
                  <c:v>106.77357082270748</c:v>
                </c:pt>
                <c:pt idx="14">
                  <c:v>120.24315695854216</c:v>
                </c:pt>
                <c:pt idx="15">
                  <c:v>134.08815298942795</c:v>
                </c:pt>
                <c:pt idx="16">
                  <c:v>148.22950564512507</c:v>
                </c:pt>
                <c:pt idx="17">
                  <c:v>162.60037454250835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EC-4ED7-ABD0-B91D52C7169E}"/>
            </c:ext>
          </c:extLst>
        </c:ser>
        <c:ser>
          <c:idx val="7"/>
          <c:order val="7"/>
          <c:tx>
            <c:strRef>
              <c:f>'Modified Black-Scholes'!$J$222</c:f>
              <c:strCache>
                <c:ptCount val="1"/>
                <c:pt idx="0">
                  <c:v>26.00%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Black-Scholes'!$J$223:$J$240</c:f>
              <c:numCache>
                <c:formatCode>0.00</c:formatCode>
                <c:ptCount val="18"/>
                <c:pt idx="0">
                  <c:v>5.6663830854528214</c:v>
                </c:pt>
                <c:pt idx="1">
                  <c:v>8.2155635871202435</c:v>
                </c:pt>
                <c:pt idx="2">
                  <c:v>11.529824873049336</c:v>
                </c:pt>
                <c:pt idx="3">
                  <c:v>15.705545253653639</c:v>
                </c:pt>
                <c:pt idx="4">
                  <c:v>20.81788366086883</c:v>
                </c:pt>
                <c:pt idx="5">
                  <c:v>26.915655004182213</c:v>
                </c:pt>
                <c:pt idx="6">
                  <c:v>34.018724623169703</c:v>
                </c:pt>
                <c:pt idx="7">
                  <c:v>42.118046539766965</c:v>
                </c:pt>
                <c:pt idx="8">
                  <c:v>51.178086052459435</c:v>
                </c:pt>
                <c:pt idx="9">
                  <c:v>61.141082233099439</c:v>
                </c:pt>
                <c:pt idx="10">
                  <c:v>71.932454114441043</c:v>
                </c:pt>
                <c:pt idx="11">
                  <c:v>83.466635455467099</c:v>
                </c:pt>
                <c:pt idx="12">
                  <c:v>95.652710790014112</c:v>
                </c:pt>
                <c:pt idx="13">
                  <c:v>108.39938038412129</c:v>
                </c:pt>
                <c:pt idx="14">
                  <c:v>121.61896252141594</c:v>
                </c:pt>
                <c:pt idx="15">
                  <c:v>135.2303139776003</c:v>
                </c:pt>
                <c:pt idx="16">
                  <c:v>149.16069080287014</c:v>
                </c:pt>
                <c:pt idx="17">
                  <c:v>163.34667077094093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EC-4ED7-ABD0-B91D52C7169E}"/>
            </c:ext>
          </c:extLst>
        </c:ser>
        <c:ser>
          <c:idx val="8"/>
          <c:order val="8"/>
          <c:tx>
            <c:strRef>
              <c:f>'Modified Black-Scholes'!$K$222</c:f>
              <c:strCache>
                <c:ptCount val="1"/>
                <c:pt idx="0">
                  <c:v>28.00%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Black-Scholes'!$K$223:$K$240</c:f>
              <c:numCache>
                <c:formatCode>0.00</c:formatCode>
                <c:ptCount val="18"/>
                <c:pt idx="0">
                  <c:v>7.1255621786553576</c:v>
                </c:pt>
                <c:pt idx="1">
                  <c:v>9.9776162603135106</c:v>
                </c:pt>
                <c:pt idx="2">
                  <c:v>13.582770386532218</c:v>
                </c:pt>
                <c:pt idx="3">
                  <c:v>18.018402745351068</c:v>
                </c:pt>
                <c:pt idx="4">
                  <c:v>23.342679825335523</c:v>
                </c:pt>
                <c:pt idx="5">
                  <c:v>29.591356890989573</c:v>
                </c:pt>
                <c:pt idx="6">
                  <c:v>36.776454286644537</c:v>
                </c:pt>
                <c:pt idx="7">
                  <c:v>44.886789488710292</c:v>
                </c:pt>
                <c:pt idx="8">
                  <c:v>53.89012190959761</c:v>
                </c:pt>
                <c:pt idx="9">
                  <c:v>63.736513466160204</c:v>
                </c:pt>
                <c:pt idx="10">
                  <c:v>74.362434433747865</c:v>
                </c:pt>
                <c:pt idx="11">
                  <c:v>85.695145893539006</c:v>
                </c:pt>
                <c:pt idx="12">
                  <c:v>97.656950325608477</c:v>
                </c:pt>
                <c:pt idx="13">
                  <c:v>110.16899836293931</c:v>
                </c:pt>
                <c:pt idx="14">
                  <c:v>123.15445022834558</c:v>
                </c:pt>
                <c:pt idx="15">
                  <c:v>136.54089664656112</c:v>
                </c:pt>
                <c:pt idx="16">
                  <c:v>150.26203357811858</c:v>
                </c:pt>
                <c:pt idx="17">
                  <c:v>164.25865152551171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EC-4ED7-ABD0-B91D52C7169E}"/>
            </c:ext>
          </c:extLst>
        </c:ser>
        <c:bandFmts>
          <c:bandFmt>
            <c:idx val="0"/>
            <c:spPr>
              <a:gradFill flip="none" rotWithShape="1">
                <a:gsLst>
                  <a:gs pos="27000">
                    <a:srgbClr val="FF0000"/>
                  </a:gs>
                  <a:gs pos="88000">
                    <a:srgbClr val="FFB7B7"/>
                  </a:gs>
                  <a:gs pos="65000">
                    <a:srgbClr val="FF6161"/>
                  </a:gs>
                </a:gsLst>
                <a:lin ang="0" scaled="1"/>
                <a:tileRect/>
              </a:gradFill>
              <a:ln/>
              <a:effectLst/>
              <a:sp3d/>
            </c:spPr>
          </c:bandFmt>
          <c:bandFmt>
            <c:idx val="1"/>
            <c:spPr>
              <a:gradFill flip="none" rotWithShape="1">
                <a:gsLst>
                  <a:gs pos="20000">
                    <a:srgbClr val="FF7171"/>
                  </a:gs>
                  <a:gs pos="100000">
                    <a:schemeClr val="accent6">
                      <a:lumMod val="20000"/>
                      <a:lumOff val="80000"/>
                    </a:schemeClr>
                  </a:gs>
                  <a:gs pos="67000">
                    <a:srgbClr val="FFEFEF"/>
                  </a:gs>
                </a:gsLst>
                <a:lin ang="0" scaled="1"/>
                <a:tileRect/>
              </a:gradFill>
              <a:ln/>
              <a:effectLst/>
              <a:sp3d/>
            </c:spPr>
          </c:bandFmt>
          <c:bandFmt>
            <c:idx val="2"/>
            <c:spPr>
              <a:gradFill flip="none" rotWithShape="1">
                <a:gsLst>
                  <a:gs pos="24000">
                    <a:schemeClr val="bg1"/>
                  </a:gs>
                  <a:gs pos="60000">
                    <a:schemeClr val="accent6">
                      <a:lumMod val="20000"/>
                      <a:lumOff val="80000"/>
                    </a:schemeClr>
                  </a:gs>
                  <a:gs pos="87000">
                    <a:schemeClr val="accent6">
                      <a:lumMod val="40000"/>
                      <a:lumOff val="60000"/>
                    </a:schemeClr>
                  </a:gs>
                </a:gsLst>
                <a:lin ang="0" scaled="1"/>
                <a:tileRect/>
              </a:gradFill>
              <a:ln/>
              <a:effectLst/>
              <a:sp3d/>
            </c:spPr>
          </c:bandFmt>
          <c:bandFmt>
            <c:idx val="3"/>
            <c:spPr>
              <a:gradFill flip="none" rotWithShape="1">
                <a:gsLst>
                  <a:gs pos="100000">
                    <a:schemeClr val="accent6">
                      <a:lumMod val="40000"/>
                      <a:lumOff val="60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n/>
              <a:effectLst/>
              <a:sp3d/>
            </c:spPr>
          </c:bandFmt>
          <c:bandFmt>
            <c:idx val="4"/>
            <c:spPr>
              <a:gradFill flip="none" rotWithShape="1">
                <a:gsLst>
                  <a:gs pos="100000">
                    <a:srgbClr val="00B050"/>
                  </a:gs>
                  <a:gs pos="78000">
                    <a:schemeClr val="accent6">
                      <a:lumMod val="60000"/>
                      <a:lumOff val="40000"/>
                    </a:schemeClr>
                  </a:gs>
                </a:gsLst>
                <a:lin ang="0" scaled="1"/>
                <a:tileRect/>
              </a:gradFill>
              <a:ln/>
              <a:effectLst/>
              <a:sp3d/>
            </c:spPr>
          </c:bandFmt>
          <c:bandFmt>
            <c:idx val="5"/>
            <c:spPr>
              <a:solidFill>
                <a:srgbClr val="00B050"/>
              </a:solidFill>
              <a:ln/>
              <a:effectLst/>
              <a:sp3d/>
            </c:spPr>
          </c:bandFmt>
          <c:bandFmt>
            <c:idx val="6"/>
            <c:spPr>
              <a:solidFill>
                <a:srgbClr val="00B050"/>
              </a:solidFill>
              <a:ln/>
              <a:effectLst/>
              <a:sp3d/>
            </c:spPr>
          </c:bandFmt>
          <c:bandFmt>
            <c:idx val="7"/>
            <c:spPr>
              <a:solidFill>
                <a:srgbClr val="00B050"/>
              </a:solidFill>
              <a:ln/>
              <a:effectLst/>
              <a:sp3d/>
            </c:spPr>
          </c:bandFmt>
          <c:bandFmt>
            <c:idx val="8"/>
            <c:spPr>
              <a:solidFill>
                <a:srgbClr val="00B050"/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16671167"/>
        <c:axId val="762155631"/>
        <c:axId val="351126783"/>
      </c:surface3DChart>
      <c:catAx>
        <c:axId val="81667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55631"/>
        <c:crosses val="autoZero"/>
        <c:auto val="1"/>
        <c:lblAlgn val="ctr"/>
        <c:lblOffset val="100"/>
        <c:noMultiLvlLbl val="0"/>
      </c:catAx>
      <c:valAx>
        <c:axId val="762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71167"/>
        <c:crosses val="autoZero"/>
        <c:crossBetween val="midCat"/>
      </c:valAx>
      <c:serAx>
        <c:axId val="35112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55631"/>
        <c:crosses val="autoZero"/>
        <c:tickMarkSkip val="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</a:t>
            </a:r>
            <a:r>
              <a:rPr lang="en-US" baseline="0"/>
              <a:t> - PnL Heatmap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'Modified Black-Scholes'!$C$222</c:f>
              <c:strCache>
                <c:ptCount val="1"/>
                <c:pt idx="0">
                  <c:v>12.00%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Black-Scholes'!$C$245:$C$262</c:f>
              <c:numCache>
                <c:formatCode>0.00</c:formatCode>
                <c:ptCount val="18"/>
                <c:pt idx="0">
                  <c:v>93.995419157445554</c:v>
                </c:pt>
                <c:pt idx="1">
                  <c:v>79.226438971837865</c:v>
                </c:pt>
                <c:pt idx="2">
                  <c:v>64.813903833182053</c:v>
                </c:pt>
                <c:pt idx="3">
                  <c:v>51.094297710572732</c:v>
                </c:pt>
                <c:pt idx="4">
                  <c:v>38.519615273268073</c:v>
                </c:pt>
                <c:pt idx="5">
                  <c:v>27.568306478524107</c:v>
                </c:pt>
                <c:pt idx="6">
                  <c:v>18.60988387874761</c:v>
                </c:pt>
                <c:pt idx="7">
                  <c:v>11.787297108468351</c:v>
                </c:pt>
                <c:pt idx="8">
                  <c:v>6.9785661696411978</c:v>
                </c:pt>
                <c:pt idx="9">
                  <c:v>3.8524815106387393</c:v>
                </c:pt>
                <c:pt idx="10">
                  <c:v>1.9806448911183452</c:v>
                </c:pt>
                <c:pt idx="11">
                  <c:v>0.9481373954759178</c:v>
                </c:pt>
                <c:pt idx="12">
                  <c:v>0.4228498367892648</c:v>
                </c:pt>
                <c:pt idx="13">
                  <c:v>0.17589908786822406</c:v>
                </c:pt>
                <c:pt idx="14">
                  <c:v>6.8360571976623596E-2</c:v>
                </c:pt>
                <c:pt idx="15">
                  <c:v>2.4868378374635736E-2</c:v>
                </c:pt>
                <c:pt idx="16">
                  <c:v>8.4861798895455864E-3</c:v>
                </c:pt>
                <c:pt idx="17">
                  <c:v>2.7225605981109902E-3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C-4ED7-ABD0-B91D52C7169E}"/>
            </c:ext>
          </c:extLst>
        </c:ser>
        <c:ser>
          <c:idx val="1"/>
          <c:order val="1"/>
          <c:tx>
            <c:strRef>
              <c:f>'Modified Black-Scholes'!$D$222</c:f>
              <c:strCache>
                <c:ptCount val="1"/>
                <c:pt idx="0">
                  <c:v>14.00%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Black-Scholes'!$D$245:$D$262</c:f>
              <c:numCache>
                <c:formatCode>0.00</c:formatCode>
                <c:ptCount val="18"/>
                <c:pt idx="0">
                  <c:v>94.217129877904881</c:v>
                </c:pt>
                <c:pt idx="1">
                  <c:v>79.704052654634324</c:v>
                </c:pt>
                <c:pt idx="2">
                  <c:v>65.700457819178951</c:v>
                </c:pt>
                <c:pt idx="3">
                  <c:v>52.522995650845928</c:v>
                </c:pt>
                <c:pt idx="4">
                  <c:v>40.533266194922703</c:v>
                </c:pt>
                <c:pt idx="5">
                  <c:v>30.068484263067887</c:v>
                </c:pt>
                <c:pt idx="6">
                  <c:v>21.363871387967038</c:v>
                </c:pt>
                <c:pt idx="7">
                  <c:v>14.497106796580397</c:v>
                </c:pt>
                <c:pt idx="8">
                  <c:v>9.3762728285274477</c:v>
                </c:pt>
                <c:pt idx="9">
                  <c:v>5.7726356850564002</c:v>
                </c:pt>
                <c:pt idx="10">
                  <c:v>3.3810842956857101</c:v>
                </c:pt>
                <c:pt idx="11">
                  <c:v>1.8839416270288112</c:v>
                </c:pt>
                <c:pt idx="12">
                  <c:v>0.99908176605600119</c:v>
                </c:pt>
                <c:pt idx="13">
                  <c:v>0.50466814587218423</c:v>
                </c:pt>
                <c:pt idx="14">
                  <c:v>0.24307995613658484</c:v>
                </c:pt>
                <c:pt idx="15">
                  <c:v>0.11178505153852925</c:v>
                </c:pt>
                <c:pt idx="16">
                  <c:v>4.91498582994776E-2</c:v>
                </c:pt>
                <c:pt idx="17">
                  <c:v>2.069266271375314E-2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C-4ED7-ABD0-B91D52C7169E}"/>
            </c:ext>
          </c:extLst>
        </c:ser>
        <c:ser>
          <c:idx val="2"/>
          <c:order val="2"/>
          <c:tx>
            <c:strRef>
              <c:f>'Modified Black-Scholes'!$E$222</c:f>
              <c:strCache>
                <c:ptCount val="1"/>
                <c:pt idx="0">
                  <c:v>16.00%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Black-Scholes'!$E$245:$E$262</c:f>
              <c:numCache>
                <c:formatCode>0.00</c:formatCode>
                <c:ptCount val="18"/>
                <c:pt idx="0">
                  <c:v>94.623796759134621</c:v>
                </c:pt>
                <c:pt idx="1">
                  <c:v>80.432174865031811</c:v>
                </c:pt>
                <c:pt idx="2">
                  <c:v>66.864162539509721</c:v>
                </c:pt>
                <c:pt idx="3">
                  <c:v>54.193730192610019</c:v>
                </c:pt>
                <c:pt idx="4">
                  <c:v>42.701086648468277</c:v>
                </c:pt>
                <c:pt idx="5">
                  <c:v>32.625263883506534</c:v>
                </c:pt>
                <c:pt idx="6">
                  <c:v>24.120021762580848</c:v>
                </c:pt>
                <c:pt idx="7">
                  <c:v>17.22686658540556</c:v>
                </c:pt>
                <c:pt idx="8">
                  <c:v>11.872711977575989</c:v>
                </c:pt>
                <c:pt idx="9">
                  <c:v>7.8907554701785045</c:v>
                </c:pt>
                <c:pt idx="10">
                  <c:v>5.055910483302398</c:v>
                </c:pt>
                <c:pt idx="11">
                  <c:v>3.1234170959535987</c:v>
                </c:pt>
                <c:pt idx="12">
                  <c:v>1.8611080399552904</c:v>
                </c:pt>
                <c:pt idx="13">
                  <c:v>1.0702458222810947</c:v>
                </c:pt>
                <c:pt idx="14">
                  <c:v>0.59443027204545729</c:v>
                </c:pt>
                <c:pt idx="15">
                  <c:v>0.31916501332966973</c:v>
                </c:pt>
                <c:pt idx="16">
                  <c:v>0.16582831487668503</c:v>
                </c:pt>
                <c:pt idx="17">
                  <c:v>8.3462364238321651E-2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C-4ED7-ABD0-B91D52C7169E}"/>
            </c:ext>
          </c:extLst>
        </c:ser>
        <c:ser>
          <c:idx val="3"/>
          <c:order val="3"/>
          <c:tx>
            <c:strRef>
              <c:f>'Modified Black-Scholes'!$F$222</c:f>
              <c:strCache>
                <c:ptCount val="1"/>
                <c:pt idx="0">
                  <c:v>18.00%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Black-Scholes'!$F$245:$F$262</c:f>
              <c:numCache>
                <c:formatCode>0.00</c:formatCode>
                <c:ptCount val="18"/>
                <c:pt idx="0">
                  <c:v>95.235443616556722</c:v>
                </c:pt>
                <c:pt idx="1">
                  <c:v>81.398357950864579</c:v>
                </c:pt>
                <c:pt idx="2">
                  <c:v>68.260218562673458</c:v>
                </c:pt>
                <c:pt idx="3">
                  <c:v>56.048531316871163</c:v>
                </c:pt>
                <c:pt idx="4">
                  <c:v>44.978152575062893</c:v>
                </c:pt>
                <c:pt idx="5">
                  <c:v>35.220312956105943</c:v>
                </c:pt>
                <c:pt idx="6">
                  <c:v>26.8774144051132</c:v>
                </c:pt>
                <c:pt idx="7">
                  <c:v>19.969809995787273</c:v>
                </c:pt>
                <c:pt idx="8">
                  <c:v>14.43707803296661</c:v>
                </c:pt>
                <c:pt idx="9">
                  <c:v>10.152126452176446</c:v>
                </c:pt>
                <c:pt idx="10">
                  <c:v>6.9434052748136423</c:v>
                </c:pt>
                <c:pt idx="11">
                  <c:v>4.6194139955443774</c:v>
                </c:pt>
                <c:pt idx="12">
                  <c:v>2.9904768869265439</c:v>
                </c:pt>
                <c:pt idx="13">
                  <c:v>1.8846787148325319</c:v>
                </c:pt>
                <c:pt idx="14">
                  <c:v>1.1569952646189634</c:v>
                </c:pt>
                <c:pt idx="15">
                  <c:v>0.69233328105758574</c:v>
                </c:pt>
                <c:pt idx="16">
                  <c:v>0.40411775324169597</c:v>
                </c:pt>
                <c:pt idx="17">
                  <c:v>0.23027602401398806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C-4ED7-ABD0-B91D52C7169E}"/>
            </c:ext>
          </c:extLst>
        </c:ser>
        <c:ser>
          <c:idx val="4"/>
          <c:order val="4"/>
          <c:tx>
            <c:strRef>
              <c:f>'Modified Black-Scholes'!$G$222</c:f>
              <c:strCache>
                <c:ptCount val="1"/>
                <c:pt idx="0">
                  <c:v>20.00%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Black-Scholes'!$G$245:$G$262</c:f>
              <c:numCache>
                <c:formatCode>0.00</c:formatCode>
                <c:ptCount val="18"/>
                <c:pt idx="0">
                  <c:v>96.050469144336148</c:v>
                </c:pt>
                <c:pt idx="1">
                  <c:v>82.57684063070451</c:v>
                </c:pt>
                <c:pt idx="2">
                  <c:v>69.846337429606137</c:v>
                </c:pt>
                <c:pt idx="3">
                  <c:v>58.044154851335634</c:v>
                </c:pt>
                <c:pt idx="4">
                  <c:v>47.334823710537819</c:v>
                </c:pt>
                <c:pt idx="5">
                  <c:v>37.84230142304159</c:v>
                </c:pt>
                <c:pt idx="6">
                  <c:v>29.635472304863015</c:v>
                </c:pt>
                <c:pt idx="7">
                  <c:v>22.721816167179213</c:v>
                </c:pt>
                <c:pt idx="8">
                  <c:v>17.049912002982978</c:v>
                </c:pt>
                <c:pt idx="9">
                  <c:v>12.519410752896249</c:v>
                </c:pt>
                <c:pt idx="10">
                  <c:v>8.9957381901064366</c:v>
                </c:pt>
                <c:pt idx="11">
                  <c:v>6.3263404570905948</c:v>
                </c:pt>
                <c:pt idx="12">
                  <c:v>4.3556742665284105</c:v>
                </c:pt>
                <c:pt idx="13">
                  <c:v>2.937056102143444</c:v>
                </c:pt>
                <c:pt idx="14">
                  <c:v>1.9405452926041775</c:v>
                </c:pt>
                <c:pt idx="15">
                  <c:v>1.2569459416324023</c:v>
                </c:pt>
                <c:pt idx="16">
                  <c:v>0.79861312647517479</c:v>
                </c:pt>
                <c:pt idx="17">
                  <c:v>0.49801516314667715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C-4ED7-ABD0-B91D52C7169E}"/>
            </c:ext>
          </c:extLst>
        </c:ser>
        <c:ser>
          <c:idx val="5"/>
          <c:order val="5"/>
          <c:tx>
            <c:strRef>
              <c:f>'Modified Black-Scholes'!$H$222</c:f>
              <c:strCache>
                <c:ptCount val="1"/>
                <c:pt idx="0">
                  <c:v>22.00%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Black-Scholes'!$H$245:$H$262</c:f>
              <c:numCache>
                <c:formatCode>0.00</c:formatCode>
                <c:ptCount val="18"/>
                <c:pt idx="0">
                  <c:v>97.055234858409563</c:v>
                </c:pt>
                <c:pt idx="1">
                  <c:v>83.938757922129753</c:v>
                </c:pt>
                <c:pt idx="2">
                  <c:v>71.586815682674228</c:v>
                </c:pt>
                <c:pt idx="3">
                  <c:v>60.148787180956333</c:v>
                </c:pt>
                <c:pt idx="4">
                  <c:v>49.750970463438136</c:v>
                </c:pt>
                <c:pt idx="5">
                  <c:v>40.483860582185173</c:v>
                </c:pt>
                <c:pt idx="6">
                  <c:v>32.393806155546258</c:v>
                </c:pt>
                <c:pt idx="7">
                  <c:v>25.480224497239988</c:v>
                </c:pt>
                <c:pt idx="8">
                  <c:v>19.698376843263247</c:v>
                </c:pt>
                <c:pt idx="9">
                  <c:v>14.966677992664358</c:v>
                </c:pt>
                <c:pt idx="10">
                  <c:v>11.176870768347044</c:v>
                </c:pt>
                <c:pt idx="11">
                  <c:v>8.2052136926353398</c:v>
                </c:pt>
                <c:pt idx="12">
                  <c:v>5.9230485824582786</c:v>
                </c:pt>
                <c:pt idx="13">
                  <c:v>4.2055863121462238</c:v>
                </c:pt>
                <c:pt idx="14">
                  <c:v>2.9383060894563044</c:v>
                </c:pt>
                <c:pt idx="15">
                  <c:v>2.0208685845180838</c:v>
                </c:pt>
                <c:pt idx="16">
                  <c:v>1.3688137361384136</c:v>
                </c:pt>
                <c:pt idx="17">
                  <c:v>0.91352416246883195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EC-4ED7-ABD0-B91D52C7169E}"/>
            </c:ext>
          </c:extLst>
        </c:ser>
        <c:ser>
          <c:idx val="6"/>
          <c:order val="6"/>
          <c:tx>
            <c:strRef>
              <c:f>'Modified Black-Scholes'!$I$222</c:f>
              <c:strCache>
                <c:ptCount val="1"/>
                <c:pt idx="0">
                  <c:v>24.00%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Black-Scholes'!$I$245:$I$262</c:f>
              <c:numCache>
                <c:formatCode>0.00</c:formatCode>
                <c:ptCount val="18"/>
                <c:pt idx="0">
                  <c:v>98.230993073062564</c:v>
                </c:pt>
                <c:pt idx="1">
                  <c:v>85.456834702521405</c:v>
                </c:pt>
                <c:pt idx="2">
                  <c:v>73.452799985380238</c:v>
                </c:pt>
                <c:pt idx="3">
                  <c:v>62.338936935558934</c:v>
                </c:pt>
                <c:pt idx="4">
                  <c:v>52.212528319389435</c:v>
                </c:pt>
                <c:pt idx="5">
                  <c:v>43.139991603591113</c:v>
                </c:pt>
                <c:pt idx="6">
                  <c:v>35.152136275808857</c:v>
                </c:pt>
                <c:pt idx="7">
                  <c:v>28.243233256065764</c:v>
                </c:pt>
                <c:pt idx="8">
                  <c:v>22.373682052334743</c:v>
                </c:pt>
                <c:pt idx="9">
                  <c:v>17.475526335713596</c:v>
                </c:pt>
                <c:pt idx="10">
                  <c:v>13.459757894136601</c:v>
                </c:pt>
                <c:pt idx="11">
                  <c:v>10.224280876344892</c:v>
                </c:pt>
                <c:pt idx="12">
                  <c:v>7.661542281589206</c:v>
                </c:pt>
                <c:pt idx="13">
                  <c:v>5.6650967144942825</c:v>
                </c:pt>
                <c:pt idx="14">
                  <c:v>4.1346828503288862</c:v>
                </c:pt>
                <c:pt idx="15">
                  <c:v>2.9796788812147028</c:v>
                </c:pt>
                <c:pt idx="16">
                  <c:v>2.1210315369117652</c:v>
                </c:pt>
                <c:pt idx="17">
                  <c:v>1.4919004342951396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EC-4ED7-ABD0-B91D52C7169E}"/>
            </c:ext>
          </c:extLst>
        </c:ser>
        <c:ser>
          <c:idx val="7"/>
          <c:order val="7"/>
          <c:tx>
            <c:strRef>
              <c:f>'Modified Black-Scholes'!$J$222</c:f>
              <c:strCache>
                <c:ptCount val="1"/>
                <c:pt idx="0">
                  <c:v>26.00%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Black-Scholes'!$J$245:$J$262</c:f>
              <c:numCache>
                <c:formatCode>0.00</c:formatCode>
                <c:ptCount val="18"/>
                <c:pt idx="0">
                  <c:v>99.557908977239549</c:v>
                </c:pt>
                <c:pt idx="1">
                  <c:v>87.107089478907028</c:v>
                </c:pt>
                <c:pt idx="2">
                  <c:v>75.421350764836063</c:v>
                </c:pt>
                <c:pt idx="3">
                  <c:v>64.597071145440339</c:v>
                </c:pt>
                <c:pt idx="4">
                  <c:v>54.709409552655529</c:v>
                </c:pt>
                <c:pt idx="5">
                  <c:v>45.807180895968941</c:v>
                </c:pt>
                <c:pt idx="6">
                  <c:v>37.910250514956374</c:v>
                </c:pt>
                <c:pt idx="7">
                  <c:v>31.009572431553693</c:v>
                </c:pt>
                <c:pt idx="8">
                  <c:v>25.069611944246162</c:v>
                </c:pt>
                <c:pt idx="9">
                  <c:v>20.03260812488611</c:v>
                </c:pt>
                <c:pt idx="10">
                  <c:v>15.823980006227771</c:v>
                </c:pt>
                <c:pt idx="11">
                  <c:v>12.358161347253827</c:v>
                </c:pt>
                <c:pt idx="12">
                  <c:v>9.5442366818008679</c:v>
                </c:pt>
                <c:pt idx="13">
                  <c:v>7.2909062759080143</c:v>
                </c:pt>
                <c:pt idx="14">
                  <c:v>5.510488413202566</c:v>
                </c:pt>
                <c:pt idx="15">
                  <c:v>4.1218398693870313</c:v>
                </c:pt>
                <c:pt idx="16">
                  <c:v>3.0522166946568277</c:v>
                </c:pt>
                <c:pt idx="17">
                  <c:v>2.2381966627275602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EC-4ED7-ABD0-B91D52C7169E}"/>
            </c:ext>
          </c:extLst>
        </c:ser>
        <c:ser>
          <c:idx val="8"/>
          <c:order val="8"/>
          <c:tx>
            <c:strRef>
              <c:f>'Modified Black-Scholes'!$K$222</c:f>
              <c:strCache>
                <c:ptCount val="1"/>
                <c:pt idx="0">
                  <c:v>28.00%</c:v>
                </c:pt>
              </c:strCache>
            </c:strRef>
          </c:tx>
          <c:cat>
            <c:numRef>
              <c:f>'Modified Black-Scholes'!$B$223:$B$240</c:f>
              <c:numCache>
                <c:formatCode>0.00</c:formatCode>
                <c:ptCount val="18"/>
                <c:pt idx="0">
                  <c:v>650</c:v>
                </c:pt>
                <c:pt idx="1">
                  <c:v>665</c:v>
                </c:pt>
                <c:pt idx="2">
                  <c:v>680</c:v>
                </c:pt>
                <c:pt idx="3">
                  <c:v>695</c:v>
                </c:pt>
                <c:pt idx="4">
                  <c:v>710</c:v>
                </c:pt>
                <c:pt idx="5">
                  <c:v>725</c:v>
                </c:pt>
                <c:pt idx="6">
                  <c:v>740</c:v>
                </c:pt>
                <c:pt idx="7">
                  <c:v>755</c:v>
                </c:pt>
                <c:pt idx="8">
                  <c:v>770</c:v>
                </c:pt>
                <c:pt idx="9">
                  <c:v>785</c:v>
                </c:pt>
                <c:pt idx="10">
                  <c:v>800</c:v>
                </c:pt>
                <c:pt idx="11">
                  <c:v>815</c:v>
                </c:pt>
                <c:pt idx="12">
                  <c:v>830</c:v>
                </c:pt>
                <c:pt idx="13">
                  <c:v>845</c:v>
                </c:pt>
                <c:pt idx="14">
                  <c:v>860</c:v>
                </c:pt>
                <c:pt idx="15">
                  <c:v>875</c:v>
                </c:pt>
                <c:pt idx="16">
                  <c:v>890</c:v>
                </c:pt>
                <c:pt idx="17">
                  <c:v>905</c:v>
                </c:pt>
              </c:numCache>
            </c:numRef>
          </c:cat>
          <c:val>
            <c:numRef>
              <c:f>'Modified Black-Scholes'!$K$245:$K$262</c:f>
              <c:numCache>
                <c:formatCode>0.00</c:formatCode>
                <c:ptCount val="18"/>
                <c:pt idx="0">
                  <c:v>101.01708807044201</c:v>
                </c:pt>
                <c:pt idx="1">
                  <c:v>88.869142152100267</c:v>
                </c:pt>
                <c:pt idx="2">
                  <c:v>77.474296278318945</c:v>
                </c:pt>
                <c:pt idx="3">
                  <c:v>66.909928637137853</c:v>
                </c:pt>
                <c:pt idx="4">
                  <c:v>57.234205717122222</c:v>
                </c:pt>
                <c:pt idx="5">
                  <c:v>48.482882782776301</c:v>
                </c:pt>
                <c:pt idx="6">
                  <c:v>40.667980178431208</c:v>
                </c:pt>
                <c:pt idx="7">
                  <c:v>33.77831538049702</c:v>
                </c:pt>
                <c:pt idx="8">
                  <c:v>27.781647801384395</c:v>
                </c:pt>
                <c:pt idx="9">
                  <c:v>22.628039357946903</c:v>
                </c:pt>
                <c:pt idx="10">
                  <c:v>18.253960325534564</c:v>
                </c:pt>
                <c:pt idx="11">
                  <c:v>14.586671785325649</c:v>
                </c:pt>
                <c:pt idx="12">
                  <c:v>11.548476217395233</c:v>
                </c:pt>
                <c:pt idx="13">
                  <c:v>9.0605242547259621</c:v>
                </c:pt>
                <c:pt idx="14">
                  <c:v>7.045976120132309</c:v>
                </c:pt>
                <c:pt idx="15">
                  <c:v>5.4324225383477796</c:v>
                </c:pt>
                <c:pt idx="16">
                  <c:v>4.1535594699052467</c:v>
                </c:pt>
                <c:pt idx="17">
                  <c:v>3.150177417298444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EC-4ED7-ABD0-B91D52C7169E}"/>
            </c:ext>
          </c:extLst>
        </c:ser>
        <c:bandFmts>
          <c:bandFmt>
            <c:idx val="0"/>
            <c:spPr>
              <a:gradFill flip="none" rotWithShape="1">
                <a:gsLst>
                  <a:gs pos="14000">
                    <a:schemeClr val="accent6">
                      <a:lumMod val="20000"/>
                      <a:lumOff val="80000"/>
                    </a:schemeClr>
                  </a:gs>
                  <a:gs pos="26000">
                    <a:schemeClr val="accent2">
                      <a:lumMod val="5000"/>
                      <a:lumOff val="95000"/>
                    </a:schemeClr>
                  </a:gs>
                  <a:gs pos="51000">
                    <a:srgbClr val="FFB7B7"/>
                  </a:gs>
                  <a:gs pos="76000">
                    <a:srgbClr val="FF6161"/>
                  </a:gs>
                  <a:gs pos="100000">
                    <a:srgbClr val="FF0000"/>
                  </a:gs>
                </a:gsLst>
                <a:lin ang="0" scaled="1"/>
                <a:tileRect/>
              </a:gradFill>
            </c:spPr>
          </c:bandFmt>
          <c:bandFmt>
            <c:idx val="1"/>
            <c:spPr>
              <a:gradFill flip="none" rotWithShape="1">
                <a:gsLst>
                  <a:gs pos="66000">
                    <a:schemeClr val="accent6">
                      <a:lumMod val="60000"/>
                      <a:lumOff val="40000"/>
                    </a:schemeClr>
                  </a:gs>
                  <a:gs pos="85000">
                    <a:srgbClr val="00B050"/>
                  </a:gs>
                  <a:gs pos="44000">
                    <a:schemeClr val="accent6">
                      <a:lumMod val="40000"/>
                      <a:lumOff val="60000"/>
                    </a:schemeClr>
                  </a:gs>
                  <a:gs pos="10000">
                    <a:schemeClr val="accent6">
                      <a:lumMod val="20000"/>
                      <a:lumOff val="80000"/>
                    </a:schemeClr>
                  </a:gs>
                </a:gsLst>
                <a:lin ang="10800000" scaled="1"/>
                <a:tileRect/>
              </a:gradFill>
            </c:spPr>
          </c:bandFmt>
          <c:bandFmt>
            <c:idx val="2"/>
            <c:spPr>
              <a:solidFill>
                <a:srgbClr val="00B050"/>
              </a:solidFill>
            </c:spPr>
          </c:bandFmt>
          <c:bandFmt>
            <c:idx val="3"/>
            <c:spPr>
              <a:solidFill>
                <a:srgbClr val="00B050"/>
              </a:solidFill>
            </c:spPr>
          </c:bandFmt>
          <c:bandFmt>
            <c:idx val="4"/>
            <c:spPr>
              <a:solidFill>
                <a:srgbClr val="00B050"/>
              </a:solidFill>
            </c:spPr>
          </c:bandFmt>
        </c:bandFmts>
        <c:axId val="816671167"/>
        <c:axId val="762155631"/>
        <c:axId val="351126783"/>
      </c:surface3DChart>
      <c:catAx>
        <c:axId val="81667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55631"/>
        <c:crosses val="autoZero"/>
        <c:auto val="1"/>
        <c:lblAlgn val="ctr"/>
        <c:lblOffset val="100"/>
        <c:noMultiLvlLbl val="0"/>
      </c:catAx>
      <c:valAx>
        <c:axId val="762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71167"/>
        <c:crosses val="autoZero"/>
        <c:crossBetween val="midCat"/>
      </c:valAx>
      <c:serAx>
        <c:axId val="35112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5563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6</xdr:col>
      <xdr:colOff>0</xdr:colOff>
      <xdr:row>23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E7200BA-8728-4911-9D41-CD3490689D86}"/>
            </a:ext>
          </a:extLst>
        </xdr:cNvPr>
        <xdr:cNvCxnSpPr/>
      </xdr:nvCxnSpPr>
      <xdr:spPr>
        <a:xfrm flipV="1">
          <a:off x="4267200" y="249078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3F3ECE-E4BA-489D-9019-4CCB8DDF07C2}"/>
            </a:ext>
          </a:extLst>
        </xdr:cNvPr>
        <xdr:cNvCxnSpPr/>
      </xdr:nvCxnSpPr>
      <xdr:spPr>
        <a:xfrm>
          <a:off x="4267200" y="255079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7F6216F-632A-4BF6-AD72-60055888FB97}"/>
            </a:ext>
          </a:extLst>
        </xdr:cNvPr>
        <xdr:cNvCxnSpPr/>
      </xdr:nvCxnSpPr>
      <xdr:spPr>
        <a:xfrm>
          <a:off x="5486400" y="249078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0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668A57-AFCB-4BDC-8A76-35E6BFD3EAAA}"/>
            </a:ext>
          </a:extLst>
        </xdr:cNvPr>
        <xdr:cNvCxnSpPr/>
      </xdr:nvCxnSpPr>
      <xdr:spPr>
        <a:xfrm flipV="1">
          <a:off x="5486400" y="255079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20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9A1BA69-DDE6-463D-9475-F7EAB1CBA4B8}"/>
            </a:ext>
          </a:extLst>
        </xdr:cNvPr>
        <xdr:cNvCxnSpPr/>
      </xdr:nvCxnSpPr>
      <xdr:spPr>
        <a:xfrm flipV="1">
          <a:off x="5486400" y="243078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29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DAB0F67-047F-4447-A499-878A292D4022}"/>
            </a:ext>
          </a:extLst>
        </xdr:cNvPr>
        <xdr:cNvCxnSpPr/>
      </xdr:nvCxnSpPr>
      <xdr:spPr>
        <a:xfrm>
          <a:off x="5486400" y="261080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197826</xdr:rowOff>
    </xdr:from>
    <xdr:to>
      <xdr:col>10</xdr:col>
      <xdr:colOff>0</xdr:colOff>
      <xdr:row>20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DA9E0FB-DCBB-4695-8733-72D728209ABC}"/>
            </a:ext>
          </a:extLst>
        </xdr:cNvPr>
        <xdr:cNvCxnSpPr/>
      </xdr:nvCxnSpPr>
      <xdr:spPr>
        <a:xfrm>
          <a:off x="6018068" y="3877940"/>
          <a:ext cx="718705" cy="39965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24</xdr:row>
      <xdr:rowOff>0</xdr:rowOff>
    </xdr:from>
    <xdr:to>
      <xdr:col>10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303B31A-8B25-4432-9CDC-91BD4827582B}"/>
            </a:ext>
          </a:extLst>
        </xdr:cNvPr>
        <xdr:cNvCxnSpPr/>
      </xdr:nvCxnSpPr>
      <xdr:spPr>
        <a:xfrm>
          <a:off x="6018068" y="5074227"/>
          <a:ext cx="718705" cy="3983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0</xdr:colOff>
      <xdr:row>32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CF31572-F3D4-40F2-AB12-021256EC615A}"/>
            </a:ext>
          </a:extLst>
        </xdr:cNvPr>
        <xdr:cNvCxnSpPr/>
      </xdr:nvCxnSpPr>
      <xdr:spPr>
        <a:xfrm>
          <a:off x="6018068" y="6269182"/>
          <a:ext cx="718705" cy="3983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21</xdr:row>
      <xdr:rowOff>0</xdr:rowOff>
    </xdr:from>
    <xdr:to>
      <xdr:col>10</xdr:col>
      <xdr:colOff>0</xdr:colOff>
      <xdr:row>23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00557DA-60E8-4789-9F8A-CB12472A17FB}"/>
            </a:ext>
          </a:extLst>
        </xdr:cNvPr>
        <xdr:cNvCxnSpPr/>
      </xdr:nvCxnSpPr>
      <xdr:spPr>
        <a:xfrm flipV="1">
          <a:off x="6705601" y="24907875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</xdr:row>
      <xdr:rowOff>0</xdr:rowOff>
    </xdr:from>
    <xdr:to>
      <xdr:col>12</xdr:col>
      <xdr:colOff>0</xdr:colOff>
      <xdr:row>26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3CB0E23-ACFC-4247-86CB-1877D577DD71}"/>
            </a:ext>
          </a:extLst>
        </xdr:cNvPr>
        <xdr:cNvCxnSpPr/>
      </xdr:nvCxnSpPr>
      <xdr:spPr>
        <a:xfrm flipV="1">
          <a:off x="7924800" y="255079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0</xdr:rowOff>
    </xdr:from>
    <xdr:to>
      <xdr:col>10</xdr:col>
      <xdr:colOff>0</xdr:colOff>
      <xdr:row>29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898CBDA-E661-4AFA-A9D5-9C42BE5FAA8D}"/>
            </a:ext>
          </a:extLst>
        </xdr:cNvPr>
        <xdr:cNvCxnSpPr/>
      </xdr:nvCxnSpPr>
      <xdr:spPr>
        <a:xfrm flipV="1">
          <a:off x="6022731" y="5641731"/>
          <a:ext cx="718038" cy="3956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17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F4EAA9C-4F0A-4ECD-AA99-772E13B5FBE0}"/>
            </a:ext>
          </a:extLst>
        </xdr:cNvPr>
        <xdr:cNvCxnSpPr/>
      </xdr:nvCxnSpPr>
      <xdr:spPr>
        <a:xfrm flipV="1">
          <a:off x="6022731" y="3267808"/>
          <a:ext cx="718038" cy="3956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</xdr:row>
      <xdr:rowOff>0</xdr:rowOff>
    </xdr:from>
    <xdr:to>
      <xdr:col>12</xdr:col>
      <xdr:colOff>0</xdr:colOff>
      <xdr:row>20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278A06B-F07B-444D-9A46-6FEDB7961594}"/>
            </a:ext>
          </a:extLst>
        </xdr:cNvPr>
        <xdr:cNvCxnSpPr/>
      </xdr:nvCxnSpPr>
      <xdr:spPr>
        <a:xfrm flipV="1">
          <a:off x="7924800" y="243078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0</xdr:colOff>
      <xdr:row>32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3717422-F904-46B2-9E16-B0EC1E87C90D}"/>
            </a:ext>
          </a:extLst>
        </xdr:cNvPr>
        <xdr:cNvCxnSpPr/>
      </xdr:nvCxnSpPr>
      <xdr:spPr>
        <a:xfrm flipV="1">
          <a:off x="7924800" y="267081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1</xdr:rowOff>
    </xdr:from>
    <xdr:to>
      <xdr:col>12</xdr:col>
      <xdr:colOff>0</xdr:colOff>
      <xdr:row>14</xdr:row>
      <xdr:rowOff>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6A4B297-A733-45F3-ACF0-C89E53D2026E}"/>
            </a:ext>
          </a:extLst>
        </xdr:cNvPr>
        <xdr:cNvCxnSpPr/>
      </xdr:nvCxnSpPr>
      <xdr:spPr>
        <a:xfrm flipV="1">
          <a:off x="7924800" y="23107651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12</xdr:col>
      <xdr:colOff>0</xdr:colOff>
      <xdr:row>17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2B3A9D6-B865-42E2-9976-71C54C3B177C}"/>
            </a:ext>
          </a:extLst>
        </xdr:cNvPr>
        <xdr:cNvCxnSpPr/>
      </xdr:nvCxnSpPr>
      <xdr:spPr>
        <a:xfrm>
          <a:off x="7455477" y="3281795"/>
          <a:ext cx="718705" cy="39831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33</xdr:row>
      <xdr:rowOff>0</xdr:rowOff>
    </xdr:from>
    <xdr:to>
      <xdr:col>12</xdr:col>
      <xdr:colOff>0</xdr:colOff>
      <xdr:row>35</xdr:row>
      <xdr:rowOff>11906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FC53E04-2C67-4DB8-AF11-888346D9FD5A}"/>
            </a:ext>
          </a:extLst>
        </xdr:cNvPr>
        <xdr:cNvCxnSpPr/>
      </xdr:nvCxnSpPr>
      <xdr:spPr>
        <a:xfrm>
          <a:off x="7924801" y="27308175"/>
          <a:ext cx="609599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27</xdr:row>
      <xdr:rowOff>0</xdr:rowOff>
    </xdr:from>
    <xdr:to>
      <xdr:col>12</xdr:col>
      <xdr:colOff>0</xdr:colOff>
      <xdr:row>29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D43B5CB-7A37-4299-9B2F-4EADC2005DA4}"/>
            </a:ext>
          </a:extLst>
        </xdr:cNvPr>
        <xdr:cNvCxnSpPr/>
      </xdr:nvCxnSpPr>
      <xdr:spPr>
        <a:xfrm>
          <a:off x="7924801" y="26108025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12</xdr:col>
      <xdr:colOff>0</xdr:colOff>
      <xdr:row>23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2A4654E-C09F-43AD-9EE5-4A18140A4C57}"/>
            </a:ext>
          </a:extLst>
        </xdr:cNvPr>
        <xdr:cNvCxnSpPr/>
      </xdr:nvCxnSpPr>
      <xdr:spPr>
        <a:xfrm>
          <a:off x="7455477" y="4476750"/>
          <a:ext cx="718705" cy="3983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1</xdr:rowOff>
    </xdr:from>
    <xdr:to>
      <xdr:col>14</xdr:col>
      <xdr:colOff>0</xdr:colOff>
      <xdr:row>11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8F15D91-1E4D-43DB-972A-EF92214268C8}"/>
            </a:ext>
          </a:extLst>
        </xdr:cNvPr>
        <xdr:cNvCxnSpPr/>
      </xdr:nvCxnSpPr>
      <xdr:spPr>
        <a:xfrm flipV="1">
          <a:off x="9144000" y="22507576"/>
          <a:ext cx="609600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17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CF26C92-AF47-4C54-97F2-25764DD39EE3}"/>
            </a:ext>
          </a:extLst>
        </xdr:cNvPr>
        <xdr:cNvCxnSpPr/>
      </xdr:nvCxnSpPr>
      <xdr:spPr>
        <a:xfrm flipV="1">
          <a:off x="9144000" y="237077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21</xdr:row>
      <xdr:rowOff>1</xdr:rowOff>
    </xdr:from>
    <xdr:to>
      <xdr:col>14</xdr:col>
      <xdr:colOff>0</xdr:colOff>
      <xdr:row>23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AADD43E-C3A8-46C6-A405-CFC599A09B93}"/>
            </a:ext>
          </a:extLst>
        </xdr:cNvPr>
        <xdr:cNvCxnSpPr/>
      </xdr:nvCxnSpPr>
      <xdr:spPr>
        <a:xfrm flipV="1">
          <a:off x="9144000" y="24907876"/>
          <a:ext cx="609600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</xdr:row>
      <xdr:rowOff>5953</xdr:rowOff>
    </xdr:from>
    <xdr:to>
      <xdr:col>14</xdr:col>
      <xdr:colOff>0</xdr:colOff>
      <xdr:row>29</xdr:row>
      <xdr:rowOff>5953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74CFE10-452F-44FA-86AD-A0D4EE9141D9}"/>
            </a:ext>
          </a:extLst>
        </xdr:cNvPr>
        <xdr:cNvCxnSpPr/>
      </xdr:nvCxnSpPr>
      <xdr:spPr>
        <a:xfrm flipV="1">
          <a:off x="9144000" y="26113978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32</xdr:row>
      <xdr:rowOff>196453</xdr:rowOff>
    </xdr:from>
    <xdr:to>
      <xdr:col>14</xdr:col>
      <xdr:colOff>0</xdr:colOff>
      <xdr:row>34</xdr:row>
      <xdr:rowOff>196453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C04AAA6-3318-4599-A25B-507882DB3C5B}"/>
            </a:ext>
          </a:extLst>
        </xdr:cNvPr>
        <xdr:cNvCxnSpPr/>
      </xdr:nvCxnSpPr>
      <xdr:spPr>
        <a:xfrm flipV="1">
          <a:off x="9144000" y="27304603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12</xdr:row>
      <xdr:rowOff>0</xdr:rowOff>
    </xdr:from>
    <xdr:to>
      <xdr:col>14</xdr:col>
      <xdr:colOff>0</xdr:colOff>
      <xdr:row>14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7FF72CA-F4DD-4C4D-B4B0-AFB17B20B976}"/>
            </a:ext>
          </a:extLst>
        </xdr:cNvPr>
        <xdr:cNvCxnSpPr/>
      </xdr:nvCxnSpPr>
      <xdr:spPr>
        <a:xfrm>
          <a:off x="9144001" y="23107650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18</xdr:row>
      <xdr:rowOff>1</xdr:rowOff>
    </xdr:from>
    <xdr:to>
      <xdr:col>14</xdr:col>
      <xdr:colOff>0</xdr:colOff>
      <xdr:row>20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2803E6F-ACFE-4495-9682-11BD58125BBE}"/>
            </a:ext>
          </a:extLst>
        </xdr:cNvPr>
        <xdr:cNvCxnSpPr/>
      </xdr:nvCxnSpPr>
      <xdr:spPr>
        <a:xfrm>
          <a:off x="9144001" y="24307801"/>
          <a:ext cx="609599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24</xdr:row>
      <xdr:rowOff>0</xdr:rowOff>
    </xdr:from>
    <xdr:to>
      <xdr:col>14</xdr:col>
      <xdr:colOff>0</xdr:colOff>
      <xdr:row>26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940AF9A-7025-435C-B023-830B942464AE}"/>
            </a:ext>
          </a:extLst>
        </xdr:cNvPr>
        <xdr:cNvCxnSpPr/>
      </xdr:nvCxnSpPr>
      <xdr:spPr>
        <a:xfrm>
          <a:off x="9144001" y="25507950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30</xdr:row>
      <xdr:rowOff>0</xdr:rowOff>
    </xdr:from>
    <xdr:to>
      <xdr:col>14</xdr:col>
      <xdr:colOff>0</xdr:colOff>
      <xdr:row>31</xdr:row>
      <xdr:rowOff>202405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0908616-2D4A-4181-B3EA-7284178E7341}"/>
            </a:ext>
          </a:extLst>
        </xdr:cNvPr>
        <xdr:cNvCxnSpPr/>
      </xdr:nvCxnSpPr>
      <xdr:spPr>
        <a:xfrm>
          <a:off x="9144001" y="26708100"/>
          <a:ext cx="609599" cy="4024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36</xdr:row>
      <xdr:rowOff>0</xdr:rowOff>
    </xdr:from>
    <xdr:to>
      <xdr:col>14</xdr:col>
      <xdr:colOff>0</xdr:colOff>
      <xdr:row>38</xdr:row>
      <xdr:rowOff>11906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C1C8FE4-D472-4BB4-871F-19862261A87D}"/>
            </a:ext>
          </a:extLst>
        </xdr:cNvPr>
        <xdr:cNvCxnSpPr/>
      </xdr:nvCxnSpPr>
      <xdr:spPr>
        <a:xfrm>
          <a:off x="9144001" y="27908250"/>
          <a:ext cx="609599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0</xdr:colOff>
      <xdr:row>62</xdr:row>
      <xdr:rowOff>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BC7BF8AC-99A2-4EF7-9E79-1E355518F2EB}"/>
            </a:ext>
          </a:extLst>
        </xdr:cNvPr>
        <xdr:cNvCxnSpPr/>
      </xdr:nvCxnSpPr>
      <xdr:spPr>
        <a:xfrm flipV="1">
          <a:off x="12783911" y="444273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63</xdr:row>
      <xdr:rowOff>0</xdr:rowOff>
    </xdr:from>
    <xdr:to>
      <xdr:col>6</xdr:col>
      <xdr:colOff>0</xdr:colOff>
      <xdr:row>65</xdr:row>
      <xdr:rowOff>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C0EE533D-6DDF-4BE6-9CC4-DF74BA703A50}"/>
            </a:ext>
          </a:extLst>
        </xdr:cNvPr>
        <xdr:cNvCxnSpPr/>
      </xdr:nvCxnSpPr>
      <xdr:spPr>
        <a:xfrm>
          <a:off x="12783911" y="5034643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0</xdr:colOff>
      <xdr:row>62</xdr:row>
      <xdr:rowOff>0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38BD328B-2264-411B-BE9A-ED96D9BE191F}"/>
            </a:ext>
          </a:extLst>
        </xdr:cNvPr>
        <xdr:cNvCxnSpPr/>
      </xdr:nvCxnSpPr>
      <xdr:spPr>
        <a:xfrm>
          <a:off x="14008554" y="444273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63</xdr:row>
      <xdr:rowOff>0</xdr:rowOff>
    </xdr:from>
    <xdr:to>
      <xdr:col>8</xdr:col>
      <xdr:colOff>0</xdr:colOff>
      <xdr:row>65</xdr:row>
      <xdr:rowOff>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32A93694-61B3-4DFC-8285-0486843DC33A}"/>
            </a:ext>
          </a:extLst>
        </xdr:cNvPr>
        <xdr:cNvCxnSpPr/>
      </xdr:nvCxnSpPr>
      <xdr:spPr>
        <a:xfrm flipV="1">
          <a:off x="14008554" y="5034643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0</xdr:colOff>
      <xdr:row>59</xdr:row>
      <xdr:rowOff>0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CEC917C3-A533-4505-812F-A0CBA573671A}"/>
            </a:ext>
          </a:extLst>
        </xdr:cNvPr>
        <xdr:cNvCxnSpPr/>
      </xdr:nvCxnSpPr>
      <xdr:spPr>
        <a:xfrm flipV="1">
          <a:off x="14008554" y="3850821"/>
          <a:ext cx="612321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8</xdr:col>
      <xdr:colOff>0</xdr:colOff>
      <xdr:row>68</xdr:row>
      <xdr:rowOff>0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D8AC28C4-45FF-4D87-92E8-6D7CDB4E25B1}"/>
            </a:ext>
          </a:extLst>
        </xdr:cNvPr>
        <xdr:cNvCxnSpPr/>
      </xdr:nvCxnSpPr>
      <xdr:spPr>
        <a:xfrm>
          <a:off x="14008554" y="5626554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60</xdr:row>
      <xdr:rowOff>0</xdr:rowOff>
    </xdr:from>
    <xdr:to>
      <xdr:col>10</xdr:col>
      <xdr:colOff>0</xdr:colOff>
      <xdr:row>62</xdr:row>
      <xdr:rowOff>0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92B9920B-D9A7-4274-A6F4-AFC20A493502}"/>
            </a:ext>
          </a:extLst>
        </xdr:cNvPr>
        <xdr:cNvCxnSpPr/>
      </xdr:nvCxnSpPr>
      <xdr:spPr>
        <a:xfrm flipV="1">
          <a:off x="15233197" y="444273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63</xdr:row>
      <xdr:rowOff>0</xdr:rowOff>
    </xdr:from>
    <xdr:to>
      <xdr:col>12</xdr:col>
      <xdr:colOff>0</xdr:colOff>
      <xdr:row>65</xdr:row>
      <xdr:rowOff>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9DCCC076-496E-4B2E-AA14-D41FC2B51AAC}"/>
            </a:ext>
          </a:extLst>
        </xdr:cNvPr>
        <xdr:cNvCxnSpPr/>
      </xdr:nvCxnSpPr>
      <xdr:spPr>
        <a:xfrm flipV="1">
          <a:off x="16457839" y="5034643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0</xdr:colOff>
      <xdr:row>59</xdr:row>
      <xdr:rowOff>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699171CA-0040-433C-9D75-99A4631B2A7D}"/>
            </a:ext>
          </a:extLst>
        </xdr:cNvPr>
        <xdr:cNvCxnSpPr/>
      </xdr:nvCxnSpPr>
      <xdr:spPr>
        <a:xfrm flipV="1">
          <a:off x="16457839" y="3850821"/>
          <a:ext cx="612322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69</xdr:row>
      <xdr:rowOff>0</xdr:rowOff>
    </xdr:from>
    <xdr:to>
      <xdr:col>12</xdr:col>
      <xdr:colOff>0</xdr:colOff>
      <xdr:row>71</xdr:row>
      <xdr:rowOff>0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A6DAA903-C3B5-4943-9B53-46B4640FA099}"/>
            </a:ext>
          </a:extLst>
        </xdr:cNvPr>
        <xdr:cNvCxnSpPr/>
      </xdr:nvCxnSpPr>
      <xdr:spPr>
        <a:xfrm flipV="1">
          <a:off x="16457839" y="6218464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51</xdr:row>
      <xdr:rowOff>1</xdr:rowOff>
    </xdr:from>
    <xdr:to>
      <xdr:col>12</xdr:col>
      <xdr:colOff>0</xdr:colOff>
      <xdr:row>53</xdr:row>
      <xdr:rowOff>1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7E905128-6DA6-4BEE-A2FA-2AB6124F72D8}"/>
            </a:ext>
          </a:extLst>
        </xdr:cNvPr>
        <xdr:cNvCxnSpPr/>
      </xdr:nvCxnSpPr>
      <xdr:spPr>
        <a:xfrm flipV="1">
          <a:off x="16457839" y="2667001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72</xdr:row>
      <xdr:rowOff>0</xdr:rowOff>
    </xdr:from>
    <xdr:to>
      <xdr:col>12</xdr:col>
      <xdr:colOff>0</xdr:colOff>
      <xdr:row>74</xdr:row>
      <xdr:rowOff>11906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24BF9229-F36D-438C-8226-9FEEB6E29DD2}"/>
            </a:ext>
          </a:extLst>
        </xdr:cNvPr>
        <xdr:cNvCxnSpPr/>
      </xdr:nvCxnSpPr>
      <xdr:spPr>
        <a:xfrm>
          <a:off x="16457840" y="6810375"/>
          <a:ext cx="612321" cy="4065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66</xdr:row>
      <xdr:rowOff>0</xdr:rowOff>
    </xdr:from>
    <xdr:to>
      <xdr:col>12</xdr:col>
      <xdr:colOff>0</xdr:colOff>
      <xdr:row>68</xdr:row>
      <xdr:rowOff>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872FD722-0ECA-4D7E-AE90-FDB9B93A7C17}"/>
            </a:ext>
          </a:extLst>
        </xdr:cNvPr>
        <xdr:cNvCxnSpPr/>
      </xdr:nvCxnSpPr>
      <xdr:spPr>
        <a:xfrm>
          <a:off x="16457840" y="5626554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48</xdr:row>
      <xdr:rowOff>1</xdr:rowOff>
    </xdr:from>
    <xdr:to>
      <xdr:col>14</xdr:col>
      <xdr:colOff>0</xdr:colOff>
      <xdr:row>50</xdr:row>
      <xdr:rowOff>0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9CDFD1C5-597B-4457-8DF0-2B6858BEEA70}"/>
            </a:ext>
          </a:extLst>
        </xdr:cNvPr>
        <xdr:cNvCxnSpPr/>
      </xdr:nvCxnSpPr>
      <xdr:spPr>
        <a:xfrm flipV="1">
          <a:off x="17682482" y="2075090"/>
          <a:ext cx="612322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54</xdr:row>
      <xdr:rowOff>0</xdr:rowOff>
    </xdr:from>
    <xdr:to>
      <xdr:col>14</xdr:col>
      <xdr:colOff>0</xdr:colOff>
      <xdr:row>56</xdr:row>
      <xdr:rowOff>0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98F3F2F8-D6F3-438D-9D39-EBE7B4AA2F1F}"/>
            </a:ext>
          </a:extLst>
        </xdr:cNvPr>
        <xdr:cNvCxnSpPr/>
      </xdr:nvCxnSpPr>
      <xdr:spPr>
        <a:xfrm flipV="1">
          <a:off x="17682482" y="3258911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60</xdr:row>
      <xdr:rowOff>1</xdr:rowOff>
    </xdr:from>
    <xdr:to>
      <xdr:col>14</xdr:col>
      <xdr:colOff>0</xdr:colOff>
      <xdr:row>62</xdr:row>
      <xdr:rowOff>0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AE7AC5DF-E5AC-4A5E-B8BC-EE41F4DBAC91}"/>
            </a:ext>
          </a:extLst>
        </xdr:cNvPr>
        <xdr:cNvCxnSpPr/>
      </xdr:nvCxnSpPr>
      <xdr:spPr>
        <a:xfrm flipV="1">
          <a:off x="17682482" y="4442733"/>
          <a:ext cx="612322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66</xdr:row>
      <xdr:rowOff>5953</xdr:rowOff>
    </xdr:from>
    <xdr:to>
      <xdr:col>14</xdr:col>
      <xdr:colOff>0</xdr:colOff>
      <xdr:row>68</xdr:row>
      <xdr:rowOff>5953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21EBA491-BC7A-4B48-B456-CEBC66FA3841}"/>
            </a:ext>
          </a:extLst>
        </xdr:cNvPr>
        <xdr:cNvCxnSpPr/>
      </xdr:nvCxnSpPr>
      <xdr:spPr>
        <a:xfrm flipV="1">
          <a:off x="17682482" y="5632507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71</xdr:row>
      <xdr:rowOff>196453</xdr:rowOff>
    </xdr:from>
    <xdr:to>
      <xdr:col>14</xdr:col>
      <xdr:colOff>0</xdr:colOff>
      <xdr:row>73</xdr:row>
      <xdr:rowOff>196453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72F2BD82-78F0-46EC-B13A-928A51A0ED49}"/>
            </a:ext>
          </a:extLst>
        </xdr:cNvPr>
        <xdr:cNvCxnSpPr/>
      </xdr:nvCxnSpPr>
      <xdr:spPr>
        <a:xfrm flipV="1">
          <a:off x="17682482" y="6809524"/>
          <a:ext cx="612322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51</xdr:row>
      <xdr:rowOff>0</xdr:rowOff>
    </xdr:from>
    <xdr:to>
      <xdr:col>14</xdr:col>
      <xdr:colOff>0</xdr:colOff>
      <xdr:row>53</xdr:row>
      <xdr:rowOff>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B10A496F-E667-4344-8DF6-5BE8E7C5C41E}"/>
            </a:ext>
          </a:extLst>
        </xdr:cNvPr>
        <xdr:cNvCxnSpPr/>
      </xdr:nvCxnSpPr>
      <xdr:spPr>
        <a:xfrm>
          <a:off x="17682483" y="2667000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57</xdr:row>
      <xdr:rowOff>1</xdr:rowOff>
    </xdr:from>
    <xdr:to>
      <xdr:col>14</xdr:col>
      <xdr:colOff>0</xdr:colOff>
      <xdr:row>59</xdr:row>
      <xdr:rowOff>0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ED20F392-711F-4DC6-8E6A-CF2DFAF6FC4B}"/>
            </a:ext>
          </a:extLst>
        </xdr:cNvPr>
        <xdr:cNvCxnSpPr/>
      </xdr:nvCxnSpPr>
      <xdr:spPr>
        <a:xfrm>
          <a:off x="17682483" y="385082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63</xdr:row>
      <xdr:rowOff>0</xdr:rowOff>
    </xdr:from>
    <xdr:to>
      <xdr:col>14</xdr:col>
      <xdr:colOff>0</xdr:colOff>
      <xdr:row>65</xdr:row>
      <xdr:rowOff>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AF03B155-53C3-4A1C-8E2B-191FCE7947AC}"/>
            </a:ext>
          </a:extLst>
        </xdr:cNvPr>
        <xdr:cNvCxnSpPr/>
      </xdr:nvCxnSpPr>
      <xdr:spPr>
        <a:xfrm>
          <a:off x="17682483" y="5034643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69</xdr:row>
      <xdr:rowOff>0</xdr:rowOff>
    </xdr:from>
    <xdr:to>
      <xdr:col>14</xdr:col>
      <xdr:colOff>0</xdr:colOff>
      <xdr:row>70</xdr:row>
      <xdr:rowOff>202405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C291140F-790F-415B-9AB2-1C464CB9958A}"/>
            </a:ext>
          </a:extLst>
        </xdr:cNvPr>
        <xdr:cNvCxnSpPr/>
      </xdr:nvCxnSpPr>
      <xdr:spPr>
        <a:xfrm>
          <a:off x="17682483" y="6218464"/>
          <a:ext cx="612321" cy="3997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75</xdr:row>
      <xdr:rowOff>0</xdr:rowOff>
    </xdr:from>
    <xdr:to>
      <xdr:col>14</xdr:col>
      <xdr:colOff>0</xdr:colOff>
      <xdr:row>77</xdr:row>
      <xdr:rowOff>11906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959284AF-2542-409A-B037-619A022D53A3}"/>
            </a:ext>
          </a:extLst>
        </xdr:cNvPr>
        <xdr:cNvCxnSpPr/>
      </xdr:nvCxnSpPr>
      <xdr:spPr>
        <a:xfrm>
          <a:off x="17682483" y="7402286"/>
          <a:ext cx="612321" cy="4065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0</xdr:colOff>
      <xdr:row>62</xdr:row>
      <xdr:rowOff>0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4425E6ED-AE47-4BB4-AD4A-EBB709B473D7}"/>
            </a:ext>
          </a:extLst>
        </xdr:cNvPr>
        <xdr:cNvCxnSpPr/>
      </xdr:nvCxnSpPr>
      <xdr:spPr>
        <a:xfrm flipV="1">
          <a:off x="12783911" y="444273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63</xdr:row>
      <xdr:rowOff>0</xdr:rowOff>
    </xdr:from>
    <xdr:to>
      <xdr:col>6</xdr:col>
      <xdr:colOff>0</xdr:colOff>
      <xdr:row>65</xdr:row>
      <xdr:rowOff>0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319BD94D-BBD6-4F7E-81A1-84FA65F9E299}"/>
            </a:ext>
          </a:extLst>
        </xdr:cNvPr>
        <xdr:cNvCxnSpPr/>
      </xdr:nvCxnSpPr>
      <xdr:spPr>
        <a:xfrm>
          <a:off x="12783911" y="5034643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0</xdr:colOff>
      <xdr:row>62</xdr:row>
      <xdr:rowOff>0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339DBCD4-9845-4A4A-9E64-BB240620AB12}"/>
            </a:ext>
          </a:extLst>
        </xdr:cNvPr>
        <xdr:cNvCxnSpPr/>
      </xdr:nvCxnSpPr>
      <xdr:spPr>
        <a:xfrm>
          <a:off x="14008554" y="444273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63</xdr:row>
      <xdr:rowOff>0</xdr:rowOff>
    </xdr:from>
    <xdr:to>
      <xdr:col>8</xdr:col>
      <xdr:colOff>0</xdr:colOff>
      <xdr:row>65</xdr:row>
      <xdr:rowOff>0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81637354-8AAD-460E-B434-2E5A552A62B6}"/>
            </a:ext>
          </a:extLst>
        </xdr:cNvPr>
        <xdr:cNvCxnSpPr/>
      </xdr:nvCxnSpPr>
      <xdr:spPr>
        <a:xfrm flipV="1">
          <a:off x="14008554" y="5034643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0</xdr:colOff>
      <xdr:row>59</xdr:row>
      <xdr:rowOff>0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84510030-4779-4D54-B0E9-D77C37155903}"/>
            </a:ext>
          </a:extLst>
        </xdr:cNvPr>
        <xdr:cNvCxnSpPr/>
      </xdr:nvCxnSpPr>
      <xdr:spPr>
        <a:xfrm flipV="1">
          <a:off x="14008554" y="3850821"/>
          <a:ext cx="612321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8</xdr:col>
      <xdr:colOff>0</xdr:colOff>
      <xdr:row>68</xdr:row>
      <xdr:rowOff>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EA7613DF-F6E2-4E4A-9DFF-A9EA70BC4997}"/>
            </a:ext>
          </a:extLst>
        </xdr:cNvPr>
        <xdr:cNvCxnSpPr/>
      </xdr:nvCxnSpPr>
      <xdr:spPr>
        <a:xfrm>
          <a:off x="14008554" y="5626554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56</xdr:row>
      <xdr:rowOff>197826</xdr:rowOff>
    </xdr:from>
    <xdr:to>
      <xdr:col>10</xdr:col>
      <xdr:colOff>0</xdr:colOff>
      <xdr:row>59</xdr:row>
      <xdr:rowOff>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FC07F0D7-9B5C-4E7A-944E-666EB9CD0774}"/>
            </a:ext>
          </a:extLst>
        </xdr:cNvPr>
        <xdr:cNvCxnSpPr/>
      </xdr:nvCxnSpPr>
      <xdr:spPr>
        <a:xfrm>
          <a:off x="15233196" y="3851344"/>
          <a:ext cx="612322" cy="39408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63</xdr:row>
      <xdr:rowOff>0</xdr:rowOff>
    </xdr:from>
    <xdr:to>
      <xdr:col>10</xdr:col>
      <xdr:colOff>0</xdr:colOff>
      <xdr:row>65</xdr:row>
      <xdr:rowOff>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BEDF71C9-06A8-41F1-8F32-AB2D1F6FFB31}"/>
            </a:ext>
          </a:extLst>
        </xdr:cNvPr>
        <xdr:cNvCxnSpPr/>
      </xdr:nvCxnSpPr>
      <xdr:spPr>
        <a:xfrm>
          <a:off x="15233196" y="5034643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69</xdr:row>
      <xdr:rowOff>0</xdr:rowOff>
    </xdr:from>
    <xdr:to>
      <xdr:col>10</xdr:col>
      <xdr:colOff>0</xdr:colOff>
      <xdr:row>71</xdr:row>
      <xdr:rowOff>0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EE396E9F-E030-43D0-BF68-260E174AD8B9}"/>
            </a:ext>
          </a:extLst>
        </xdr:cNvPr>
        <xdr:cNvCxnSpPr/>
      </xdr:nvCxnSpPr>
      <xdr:spPr>
        <a:xfrm>
          <a:off x="15233196" y="6218464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60</xdr:row>
      <xdr:rowOff>0</xdr:rowOff>
    </xdr:from>
    <xdr:to>
      <xdr:col>10</xdr:col>
      <xdr:colOff>0</xdr:colOff>
      <xdr:row>62</xdr:row>
      <xdr:rowOff>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343D4D51-38D8-4872-AB39-3AE718B4B2C5}"/>
            </a:ext>
          </a:extLst>
        </xdr:cNvPr>
        <xdr:cNvCxnSpPr/>
      </xdr:nvCxnSpPr>
      <xdr:spPr>
        <a:xfrm flipV="1">
          <a:off x="15233197" y="444273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63</xdr:row>
      <xdr:rowOff>0</xdr:rowOff>
    </xdr:from>
    <xdr:to>
      <xdr:col>12</xdr:col>
      <xdr:colOff>0</xdr:colOff>
      <xdr:row>65</xdr:row>
      <xdr:rowOff>0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DDE21305-6C9B-4160-81D9-58E5FF5D836E}"/>
            </a:ext>
          </a:extLst>
        </xdr:cNvPr>
        <xdr:cNvCxnSpPr/>
      </xdr:nvCxnSpPr>
      <xdr:spPr>
        <a:xfrm flipV="1">
          <a:off x="16457839" y="5034643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10</xdr:col>
      <xdr:colOff>0</xdr:colOff>
      <xdr:row>68</xdr:row>
      <xdr:rowOff>0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8C235128-2101-40A3-A93F-C7619B0D1689}"/>
            </a:ext>
          </a:extLst>
        </xdr:cNvPr>
        <xdr:cNvCxnSpPr/>
      </xdr:nvCxnSpPr>
      <xdr:spPr>
        <a:xfrm flipV="1">
          <a:off x="15233196" y="5626554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0</xdr:rowOff>
    </xdr:from>
    <xdr:to>
      <xdr:col>10</xdr:col>
      <xdr:colOff>0</xdr:colOff>
      <xdr:row>56</xdr:row>
      <xdr:rowOff>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42B21AA6-1A0B-469B-B992-80E62FBB3B31}"/>
            </a:ext>
          </a:extLst>
        </xdr:cNvPr>
        <xdr:cNvCxnSpPr/>
      </xdr:nvCxnSpPr>
      <xdr:spPr>
        <a:xfrm flipV="1">
          <a:off x="15233196" y="3258911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0</xdr:colOff>
      <xdr:row>59</xdr:row>
      <xdr:rowOff>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8AA73FEF-C992-45E4-A9DE-90023786DFFF}"/>
            </a:ext>
          </a:extLst>
        </xdr:cNvPr>
        <xdr:cNvCxnSpPr/>
      </xdr:nvCxnSpPr>
      <xdr:spPr>
        <a:xfrm flipV="1">
          <a:off x="16457839" y="3850821"/>
          <a:ext cx="612322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69</xdr:row>
      <xdr:rowOff>0</xdr:rowOff>
    </xdr:from>
    <xdr:to>
      <xdr:col>12</xdr:col>
      <xdr:colOff>0</xdr:colOff>
      <xdr:row>71</xdr:row>
      <xdr:rowOff>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AD1C168E-332A-4547-BB9D-075663B0C5AC}"/>
            </a:ext>
          </a:extLst>
        </xdr:cNvPr>
        <xdr:cNvCxnSpPr/>
      </xdr:nvCxnSpPr>
      <xdr:spPr>
        <a:xfrm flipV="1">
          <a:off x="16457839" y="6218464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51</xdr:row>
      <xdr:rowOff>1</xdr:rowOff>
    </xdr:from>
    <xdr:to>
      <xdr:col>12</xdr:col>
      <xdr:colOff>0</xdr:colOff>
      <xdr:row>53</xdr:row>
      <xdr:rowOff>1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51F81C39-9C2F-4716-B53C-517274F9FC01}"/>
            </a:ext>
          </a:extLst>
        </xdr:cNvPr>
        <xdr:cNvCxnSpPr/>
      </xdr:nvCxnSpPr>
      <xdr:spPr>
        <a:xfrm flipV="1">
          <a:off x="16457839" y="2667001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54</xdr:row>
      <xdr:rowOff>0</xdr:rowOff>
    </xdr:from>
    <xdr:to>
      <xdr:col>12</xdr:col>
      <xdr:colOff>0</xdr:colOff>
      <xdr:row>56</xdr:row>
      <xdr:rowOff>0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9A24088A-7581-4C9B-B34B-3AA94032403D}"/>
            </a:ext>
          </a:extLst>
        </xdr:cNvPr>
        <xdr:cNvCxnSpPr/>
      </xdr:nvCxnSpPr>
      <xdr:spPr>
        <a:xfrm>
          <a:off x="16457839" y="3258911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72</xdr:row>
      <xdr:rowOff>0</xdr:rowOff>
    </xdr:from>
    <xdr:to>
      <xdr:col>12</xdr:col>
      <xdr:colOff>0</xdr:colOff>
      <xdr:row>74</xdr:row>
      <xdr:rowOff>11906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1DA4368-9D0A-48B2-AFB0-AED9CDAF74C3}"/>
            </a:ext>
          </a:extLst>
        </xdr:cNvPr>
        <xdr:cNvCxnSpPr/>
      </xdr:nvCxnSpPr>
      <xdr:spPr>
        <a:xfrm>
          <a:off x="16457840" y="6810375"/>
          <a:ext cx="612321" cy="4065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66</xdr:row>
      <xdr:rowOff>0</xdr:rowOff>
    </xdr:from>
    <xdr:to>
      <xdr:col>12</xdr:col>
      <xdr:colOff>0</xdr:colOff>
      <xdr:row>68</xdr:row>
      <xdr:rowOff>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1E6DCB2-914D-456F-9468-7638E025DFF2}"/>
            </a:ext>
          </a:extLst>
        </xdr:cNvPr>
        <xdr:cNvCxnSpPr/>
      </xdr:nvCxnSpPr>
      <xdr:spPr>
        <a:xfrm>
          <a:off x="16457840" y="5626554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0</xdr:colOff>
      <xdr:row>62</xdr:row>
      <xdr:rowOff>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C88F8539-AF5D-4850-9683-216B715988F5}"/>
            </a:ext>
          </a:extLst>
        </xdr:cNvPr>
        <xdr:cNvCxnSpPr/>
      </xdr:nvCxnSpPr>
      <xdr:spPr>
        <a:xfrm>
          <a:off x="16457839" y="4442732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48</xdr:row>
      <xdr:rowOff>1</xdr:rowOff>
    </xdr:from>
    <xdr:to>
      <xdr:col>14</xdr:col>
      <xdr:colOff>0</xdr:colOff>
      <xdr:row>50</xdr:row>
      <xdr:rowOff>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7972BAAF-D293-4D67-8097-8E1D049D0BC3}"/>
            </a:ext>
          </a:extLst>
        </xdr:cNvPr>
        <xdr:cNvCxnSpPr/>
      </xdr:nvCxnSpPr>
      <xdr:spPr>
        <a:xfrm flipV="1">
          <a:off x="17682482" y="2075090"/>
          <a:ext cx="612322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54</xdr:row>
      <xdr:rowOff>0</xdr:rowOff>
    </xdr:from>
    <xdr:to>
      <xdr:col>14</xdr:col>
      <xdr:colOff>0</xdr:colOff>
      <xdr:row>56</xdr:row>
      <xdr:rowOff>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136075B1-826C-4478-969C-DC38784C1BC7}"/>
            </a:ext>
          </a:extLst>
        </xdr:cNvPr>
        <xdr:cNvCxnSpPr/>
      </xdr:nvCxnSpPr>
      <xdr:spPr>
        <a:xfrm flipV="1">
          <a:off x="17682482" y="3258911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60</xdr:row>
      <xdr:rowOff>1</xdr:rowOff>
    </xdr:from>
    <xdr:to>
      <xdr:col>14</xdr:col>
      <xdr:colOff>0</xdr:colOff>
      <xdr:row>62</xdr:row>
      <xdr:rowOff>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334ED135-090F-4E1E-AEE3-A70B0F7ED9DD}"/>
            </a:ext>
          </a:extLst>
        </xdr:cNvPr>
        <xdr:cNvCxnSpPr/>
      </xdr:nvCxnSpPr>
      <xdr:spPr>
        <a:xfrm flipV="1">
          <a:off x="17682482" y="4442733"/>
          <a:ext cx="612322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66</xdr:row>
      <xdr:rowOff>5953</xdr:rowOff>
    </xdr:from>
    <xdr:to>
      <xdr:col>14</xdr:col>
      <xdr:colOff>0</xdr:colOff>
      <xdr:row>68</xdr:row>
      <xdr:rowOff>5953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48B2ACD6-7CA1-489A-B101-96B44823006C}"/>
            </a:ext>
          </a:extLst>
        </xdr:cNvPr>
        <xdr:cNvCxnSpPr/>
      </xdr:nvCxnSpPr>
      <xdr:spPr>
        <a:xfrm flipV="1">
          <a:off x="17682482" y="5632507"/>
          <a:ext cx="612322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71</xdr:row>
      <xdr:rowOff>196453</xdr:rowOff>
    </xdr:from>
    <xdr:to>
      <xdr:col>14</xdr:col>
      <xdr:colOff>0</xdr:colOff>
      <xdr:row>73</xdr:row>
      <xdr:rowOff>196453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7AECCC02-6E7A-4A62-8192-0305D6A61372}"/>
            </a:ext>
          </a:extLst>
        </xdr:cNvPr>
        <xdr:cNvCxnSpPr/>
      </xdr:nvCxnSpPr>
      <xdr:spPr>
        <a:xfrm flipV="1">
          <a:off x="17682482" y="6809524"/>
          <a:ext cx="612322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51</xdr:row>
      <xdr:rowOff>0</xdr:rowOff>
    </xdr:from>
    <xdr:to>
      <xdr:col>14</xdr:col>
      <xdr:colOff>0</xdr:colOff>
      <xdr:row>53</xdr:row>
      <xdr:rowOff>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2CCB46C-BB96-4F7D-91D4-8571D1AC4096}"/>
            </a:ext>
          </a:extLst>
        </xdr:cNvPr>
        <xdr:cNvCxnSpPr/>
      </xdr:nvCxnSpPr>
      <xdr:spPr>
        <a:xfrm>
          <a:off x="17682483" y="2667000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57</xdr:row>
      <xdr:rowOff>1</xdr:rowOff>
    </xdr:from>
    <xdr:to>
      <xdr:col>14</xdr:col>
      <xdr:colOff>0</xdr:colOff>
      <xdr:row>59</xdr:row>
      <xdr:rowOff>0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3255FADF-0778-4FCA-B05C-740AB20E79E2}"/>
            </a:ext>
          </a:extLst>
        </xdr:cNvPr>
        <xdr:cNvCxnSpPr/>
      </xdr:nvCxnSpPr>
      <xdr:spPr>
        <a:xfrm>
          <a:off x="17682483" y="3850822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63</xdr:row>
      <xdr:rowOff>0</xdr:rowOff>
    </xdr:from>
    <xdr:to>
      <xdr:col>14</xdr:col>
      <xdr:colOff>0</xdr:colOff>
      <xdr:row>65</xdr:row>
      <xdr:rowOff>0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AC22B37A-B185-45F0-A34E-F259D3D33EBE}"/>
            </a:ext>
          </a:extLst>
        </xdr:cNvPr>
        <xdr:cNvCxnSpPr/>
      </xdr:nvCxnSpPr>
      <xdr:spPr>
        <a:xfrm>
          <a:off x="17682483" y="5034643"/>
          <a:ext cx="612321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69</xdr:row>
      <xdr:rowOff>0</xdr:rowOff>
    </xdr:from>
    <xdr:to>
      <xdr:col>14</xdr:col>
      <xdr:colOff>0</xdr:colOff>
      <xdr:row>70</xdr:row>
      <xdr:rowOff>202405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D80D7952-2A6C-47B8-8DDC-E1A0BAAC4F73}"/>
            </a:ext>
          </a:extLst>
        </xdr:cNvPr>
        <xdr:cNvCxnSpPr/>
      </xdr:nvCxnSpPr>
      <xdr:spPr>
        <a:xfrm>
          <a:off x="17682483" y="6218464"/>
          <a:ext cx="612321" cy="3997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75</xdr:row>
      <xdr:rowOff>0</xdr:rowOff>
    </xdr:from>
    <xdr:to>
      <xdr:col>14</xdr:col>
      <xdr:colOff>0</xdr:colOff>
      <xdr:row>77</xdr:row>
      <xdr:rowOff>11906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34C66473-C39B-4183-A4B0-E624400E6697}"/>
            </a:ext>
          </a:extLst>
        </xdr:cNvPr>
        <xdr:cNvCxnSpPr/>
      </xdr:nvCxnSpPr>
      <xdr:spPr>
        <a:xfrm>
          <a:off x="17682483" y="7402286"/>
          <a:ext cx="612321" cy="4065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41</xdr:row>
      <xdr:rowOff>0</xdr:rowOff>
    </xdr:from>
    <xdr:ext cx="1351717" cy="1986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6501250-6EAE-6522-75E1-3ADB25C3EBE2}"/>
                </a:ext>
              </a:extLst>
            </xdr:cNvPr>
            <xdr:cNvSpPr txBox="1"/>
          </xdr:nvSpPr>
          <xdr:spPr>
            <a:xfrm>
              <a:off x="609600" y="8185150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𝐸𝑢𝑟𝑜𝑝𝑒𝑎𝑛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𝐶𝑎𝑙𝑙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6501250-6EAE-6522-75E1-3ADB25C3EBE2}"/>
                </a:ext>
              </a:extLst>
            </xdr:cNvPr>
            <xdr:cNvSpPr txBox="1"/>
          </xdr:nvSpPr>
          <xdr:spPr>
            <a:xfrm>
              <a:off x="609600" y="8185150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𝐸𝑢𝑟𝑜𝑝𝑒𝑎𝑛 𝐶𝑎𝑙𝑙 𝑉𝑎𝑙𝑢𝑒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0</xdr:colOff>
      <xdr:row>98</xdr:row>
      <xdr:rowOff>0</xdr:rowOff>
    </xdr:from>
    <xdr:to>
      <xdr:col>6</xdr:col>
      <xdr:colOff>0</xdr:colOff>
      <xdr:row>100</xdr:row>
      <xdr:rowOff>0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6EEE87A9-0669-44EF-89E7-5896B45C7C29}"/>
            </a:ext>
          </a:extLst>
        </xdr:cNvPr>
        <xdr:cNvCxnSpPr/>
      </xdr:nvCxnSpPr>
      <xdr:spPr>
        <a:xfrm flipV="1">
          <a:off x="3803196" y="12096750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101</xdr:row>
      <xdr:rowOff>0</xdr:rowOff>
    </xdr:from>
    <xdr:to>
      <xdr:col>6</xdr:col>
      <xdr:colOff>0</xdr:colOff>
      <xdr:row>103</xdr:row>
      <xdr:rowOff>0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208A522C-8655-45AF-AAD4-5D588D42ED3E}"/>
            </a:ext>
          </a:extLst>
        </xdr:cNvPr>
        <xdr:cNvCxnSpPr/>
      </xdr:nvCxnSpPr>
      <xdr:spPr>
        <a:xfrm>
          <a:off x="380319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0</xdr:colOff>
      <xdr:row>100</xdr:row>
      <xdr:rowOff>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28489BA9-5C8F-46D3-A252-1DFEA81CEB78}"/>
            </a:ext>
          </a:extLst>
        </xdr:cNvPr>
        <xdr:cNvCxnSpPr/>
      </xdr:nvCxnSpPr>
      <xdr:spPr>
        <a:xfrm>
          <a:off x="5231946" y="12096750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0</xdr:colOff>
      <xdr:row>103</xdr:row>
      <xdr:rowOff>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1C75C63B-05CE-4100-844B-EA7565883031}"/>
            </a:ext>
          </a:extLst>
        </xdr:cNvPr>
        <xdr:cNvCxnSpPr/>
      </xdr:nvCxnSpPr>
      <xdr:spPr>
        <a:xfrm flipV="1">
          <a:off x="523194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0</xdr:colOff>
      <xdr:row>97</xdr:row>
      <xdr:rowOff>0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89E76768-D373-4ECA-B76E-C6C302A4BB3C}"/>
            </a:ext>
          </a:extLst>
        </xdr:cNvPr>
        <xdr:cNvCxnSpPr/>
      </xdr:nvCxnSpPr>
      <xdr:spPr>
        <a:xfrm flipV="1">
          <a:off x="5231946" y="1150483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104</xdr:row>
      <xdr:rowOff>0</xdr:rowOff>
    </xdr:from>
    <xdr:to>
      <xdr:col>8</xdr:col>
      <xdr:colOff>0</xdr:colOff>
      <xdr:row>106</xdr:row>
      <xdr:rowOff>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73AFDF63-E883-4206-90A3-81EC527B0312}"/>
            </a:ext>
          </a:extLst>
        </xdr:cNvPr>
        <xdr:cNvCxnSpPr/>
      </xdr:nvCxnSpPr>
      <xdr:spPr>
        <a:xfrm>
          <a:off x="5231946" y="13280571"/>
          <a:ext cx="714375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98</xdr:row>
      <xdr:rowOff>0</xdr:rowOff>
    </xdr:from>
    <xdr:to>
      <xdr:col>10</xdr:col>
      <xdr:colOff>0</xdr:colOff>
      <xdr:row>100</xdr:row>
      <xdr:rowOff>0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1A5E4615-9EC5-4FE0-A445-84868BBAC72C}"/>
            </a:ext>
          </a:extLst>
        </xdr:cNvPr>
        <xdr:cNvCxnSpPr/>
      </xdr:nvCxnSpPr>
      <xdr:spPr>
        <a:xfrm flipV="1">
          <a:off x="6660697" y="12096750"/>
          <a:ext cx="714374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101</xdr:row>
      <xdr:rowOff>0</xdr:rowOff>
    </xdr:from>
    <xdr:to>
      <xdr:col>12</xdr:col>
      <xdr:colOff>0</xdr:colOff>
      <xdr:row>103</xdr:row>
      <xdr:rowOff>0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61260081-162E-4527-9D81-A958D6C623F7}"/>
            </a:ext>
          </a:extLst>
        </xdr:cNvPr>
        <xdr:cNvCxnSpPr/>
      </xdr:nvCxnSpPr>
      <xdr:spPr>
        <a:xfrm flipV="1">
          <a:off x="808944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95</xdr:row>
      <xdr:rowOff>0</xdr:rowOff>
    </xdr:from>
    <xdr:to>
      <xdr:col>12</xdr:col>
      <xdr:colOff>0</xdr:colOff>
      <xdr:row>97</xdr:row>
      <xdr:rowOff>0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F60277DC-DEF2-4399-AB12-B2FEBC03A7D6}"/>
            </a:ext>
          </a:extLst>
        </xdr:cNvPr>
        <xdr:cNvCxnSpPr/>
      </xdr:nvCxnSpPr>
      <xdr:spPr>
        <a:xfrm flipV="1">
          <a:off x="8089446" y="1150483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0</xdr:colOff>
      <xdr:row>109</xdr:row>
      <xdr:rowOff>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3333F371-AC7D-4810-8D00-0101FF75FDF2}"/>
            </a:ext>
          </a:extLst>
        </xdr:cNvPr>
        <xdr:cNvCxnSpPr/>
      </xdr:nvCxnSpPr>
      <xdr:spPr>
        <a:xfrm flipV="1">
          <a:off x="8089446" y="13872482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89</xdr:row>
      <xdr:rowOff>1</xdr:rowOff>
    </xdr:from>
    <xdr:to>
      <xdr:col>12</xdr:col>
      <xdr:colOff>0</xdr:colOff>
      <xdr:row>91</xdr:row>
      <xdr:rowOff>1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064A8D8F-83FB-4C38-9680-50217669F123}"/>
            </a:ext>
          </a:extLst>
        </xdr:cNvPr>
        <xdr:cNvCxnSpPr/>
      </xdr:nvCxnSpPr>
      <xdr:spPr>
        <a:xfrm flipV="1">
          <a:off x="8089446" y="1032101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110</xdr:row>
      <xdr:rowOff>0</xdr:rowOff>
    </xdr:from>
    <xdr:to>
      <xdr:col>12</xdr:col>
      <xdr:colOff>0</xdr:colOff>
      <xdr:row>112</xdr:row>
      <xdr:rowOff>11906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3659117B-166E-4AD6-A86D-43F5B4EE04A3}"/>
            </a:ext>
          </a:extLst>
        </xdr:cNvPr>
        <xdr:cNvCxnSpPr/>
      </xdr:nvCxnSpPr>
      <xdr:spPr>
        <a:xfrm>
          <a:off x="8089447" y="14464393"/>
          <a:ext cx="714374" cy="4065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104</xdr:row>
      <xdr:rowOff>0</xdr:rowOff>
    </xdr:from>
    <xdr:to>
      <xdr:col>12</xdr:col>
      <xdr:colOff>0</xdr:colOff>
      <xdr:row>106</xdr:row>
      <xdr:rowOff>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54051DF9-F94E-4EC8-B3AA-DB16BA1C4244}"/>
            </a:ext>
          </a:extLst>
        </xdr:cNvPr>
        <xdr:cNvCxnSpPr/>
      </xdr:nvCxnSpPr>
      <xdr:spPr>
        <a:xfrm>
          <a:off x="8089447" y="13280571"/>
          <a:ext cx="714374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86</xdr:row>
      <xdr:rowOff>1</xdr:rowOff>
    </xdr:from>
    <xdr:to>
      <xdr:col>14</xdr:col>
      <xdr:colOff>0</xdr:colOff>
      <xdr:row>88</xdr:row>
      <xdr:rowOff>0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8D35A6DF-EE48-474E-97F7-F9B6370E101C}"/>
            </a:ext>
          </a:extLst>
        </xdr:cNvPr>
        <xdr:cNvCxnSpPr/>
      </xdr:nvCxnSpPr>
      <xdr:spPr>
        <a:xfrm flipV="1">
          <a:off x="9518196" y="9729108"/>
          <a:ext cx="714375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0</xdr:colOff>
      <xdr:row>94</xdr:row>
      <xdr:rowOff>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7C9FC10B-811B-4730-8B53-A1714C90904B}"/>
            </a:ext>
          </a:extLst>
        </xdr:cNvPr>
        <xdr:cNvCxnSpPr/>
      </xdr:nvCxnSpPr>
      <xdr:spPr>
        <a:xfrm flipV="1">
          <a:off x="9518196" y="1091292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98</xdr:row>
      <xdr:rowOff>1</xdr:rowOff>
    </xdr:from>
    <xdr:to>
      <xdr:col>14</xdr:col>
      <xdr:colOff>0</xdr:colOff>
      <xdr:row>100</xdr:row>
      <xdr:rowOff>0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3E408553-7CE4-4686-BBBB-3F710E86012A}"/>
            </a:ext>
          </a:extLst>
        </xdr:cNvPr>
        <xdr:cNvCxnSpPr/>
      </xdr:nvCxnSpPr>
      <xdr:spPr>
        <a:xfrm flipV="1">
          <a:off x="9518196" y="12096751"/>
          <a:ext cx="714375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104</xdr:row>
      <xdr:rowOff>5953</xdr:rowOff>
    </xdr:from>
    <xdr:to>
      <xdr:col>14</xdr:col>
      <xdr:colOff>0</xdr:colOff>
      <xdr:row>106</xdr:row>
      <xdr:rowOff>5953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EF7DB598-126E-40F4-B294-2EBA91E04B37}"/>
            </a:ext>
          </a:extLst>
        </xdr:cNvPr>
        <xdr:cNvCxnSpPr/>
      </xdr:nvCxnSpPr>
      <xdr:spPr>
        <a:xfrm flipV="1">
          <a:off x="9518196" y="13286524"/>
          <a:ext cx="714375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109</xdr:row>
      <xdr:rowOff>196453</xdr:rowOff>
    </xdr:from>
    <xdr:to>
      <xdr:col>14</xdr:col>
      <xdr:colOff>0</xdr:colOff>
      <xdr:row>111</xdr:row>
      <xdr:rowOff>196453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2A99CCC4-46EE-4A42-ADE0-F30A90DC860F}"/>
            </a:ext>
          </a:extLst>
        </xdr:cNvPr>
        <xdr:cNvCxnSpPr/>
      </xdr:nvCxnSpPr>
      <xdr:spPr>
        <a:xfrm flipV="1">
          <a:off x="9518196" y="14463542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89</xdr:row>
      <xdr:rowOff>0</xdr:rowOff>
    </xdr:from>
    <xdr:to>
      <xdr:col>14</xdr:col>
      <xdr:colOff>0</xdr:colOff>
      <xdr:row>91</xdr:row>
      <xdr:rowOff>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19064D5C-6A7A-40E9-B74D-091A668A6E15}"/>
            </a:ext>
          </a:extLst>
        </xdr:cNvPr>
        <xdr:cNvCxnSpPr/>
      </xdr:nvCxnSpPr>
      <xdr:spPr>
        <a:xfrm>
          <a:off x="9518197" y="10321018"/>
          <a:ext cx="714374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95</xdr:row>
      <xdr:rowOff>1</xdr:rowOff>
    </xdr:from>
    <xdr:to>
      <xdr:col>14</xdr:col>
      <xdr:colOff>0</xdr:colOff>
      <xdr:row>97</xdr:row>
      <xdr:rowOff>0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8D4CC645-99C7-4707-A46D-FCEA5C788FC1}"/>
            </a:ext>
          </a:extLst>
        </xdr:cNvPr>
        <xdr:cNvCxnSpPr/>
      </xdr:nvCxnSpPr>
      <xdr:spPr>
        <a:xfrm>
          <a:off x="9518197" y="11504840"/>
          <a:ext cx="714374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101</xdr:row>
      <xdr:rowOff>0</xdr:rowOff>
    </xdr:from>
    <xdr:to>
      <xdr:col>14</xdr:col>
      <xdr:colOff>0</xdr:colOff>
      <xdr:row>103</xdr:row>
      <xdr:rowOff>0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73498A77-9898-426D-8C23-D010214FD873}"/>
            </a:ext>
          </a:extLst>
        </xdr:cNvPr>
        <xdr:cNvCxnSpPr/>
      </xdr:nvCxnSpPr>
      <xdr:spPr>
        <a:xfrm>
          <a:off x="9518197" y="12688661"/>
          <a:ext cx="714374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107</xdr:row>
      <xdr:rowOff>0</xdr:rowOff>
    </xdr:from>
    <xdr:to>
      <xdr:col>14</xdr:col>
      <xdr:colOff>0</xdr:colOff>
      <xdr:row>108</xdr:row>
      <xdr:rowOff>202405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59E87253-32BD-4882-BFEC-2C1BFB2D4557}"/>
            </a:ext>
          </a:extLst>
        </xdr:cNvPr>
        <xdr:cNvCxnSpPr/>
      </xdr:nvCxnSpPr>
      <xdr:spPr>
        <a:xfrm>
          <a:off x="9518197" y="13872482"/>
          <a:ext cx="714374" cy="3997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113</xdr:row>
      <xdr:rowOff>0</xdr:rowOff>
    </xdr:from>
    <xdr:to>
      <xdr:col>14</xdr:col>
      <xdr:colOff>0</xdr:colOff>
      <xdr:row>115</xdr:row>
      <xdr:rowOff>11906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2572DAD1-083D-4DB1-8909-4DE71938C4C7}"/>
            </a:ext>
          </a:extLst>
        </xdr:cNvPr>
        <xdr:cNvCxnSpPr/>
      </xdr:nvCxnSpPr>
      <xdr:spPr>
        <a:xfrm>
          <a:off x="9518197" y="15056304"/>
          <a:ext cx="714374" cy="3997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98</xdr:row>
      <xdr:rowOff>0</xdr:rowOff>
    </xdr:from>
    <xdr:to>
      <xdr:col>6</xdr:col>
      <xdr:colOff>0</xdr:colOff>
      <xdr:row>100</xdr:row>
      <xdr:rowOff>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C8653970-72A5-4826-9EFA-51A627D3DB66}"/>
            </a:ext>
          </a:extLst>
        </xdr:cNvPr>
        <xdr:cNvCxnSpPr/>
      </xdr:nvCxnSpPr>
      <xdr:spPr>
        <a:xfrm flipV="1">
          <a:off x="3803196" y="12096750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101</xdr:row>
      <xdr:rowOff>0</xdr:rowOff>
    </xdr:from>
    <xdr:to>
      <xdr:col>6</xdr:col>
      <xdr:colOff>0</xdr:colOff>
      <xdr:row>103</xdr:row>
      <xdr:rowOff>0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F9FF806B-059B-4C3D-A634-026A289049C2}"/>
            </a:ext>
          </a:extLst>
        </xdr:cNvPr>
        <xdr:cNvCxnSpPr/>
      </xdr:nvCxnSpPr>
      <xdr:spPr>
        <a:xfrm>
          <a:off x="380319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0</xdr:colOff>
      <xdr:row>100</xdr:row>
      <xdr:rowOff>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313713BD-2D91-4C13-BF81-BE77D8199A5D}"/>
            </a:ext>
          </a:extLst>
        </xdr:cNvPr>
        <xdr:cNvCxnSpPr/>
      </xdr:nvCxnSpPr>
      <xdr:spPr>
        <a:xfrm>
          <a:off x="5231946" y="12096750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0</xdr:colOff>
      <xdr:row>103</xdr:row>
      <xdr:rowOff>0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6360C82D-B9AF-4336-94B7-94A47CC1E1CD}"/>
            </a:ext>
          </a:extLst>
        </xdr:cNvPr>
        <xdr:cNvCxnSpPr/>
      </xdr:nvCxnSpPr>
      <xdr:spPr>
        <a:xfrm flipV="1">
          <a:off x="523194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0</xdr:colOff>
      <xdr:row>97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A6157EE9-873F-41C6-84CE-119039748946}"/>
            </a:ext>
          </a:extLst>
        </xdr:cNvPr>
        <xdr:cNvCxnSpPr/>
      </xdr:nvCxnSpPr>
      <xdr:spPr>
        <a:xfrm flipV="1">
          <a:off x="5231946" y="1150483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104</xdr:row>
      <xdr:rowOff>0</xdr:rowOff>
    </xdr:from>
    <xdr:to>
      <xdr:col>8</xdr:col>
      <xdr:colOff>0</xdr:colOff>
      <xdr:row>106</xdr:row>
      <xdr:rowOff>0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5DED1BE7-1E4A-4F68-8AB6-3D3E1B03B979}"/>
            </a:ext>
          </a:extLst>
        </xdr:cNvPr>
        <xdr:cNvCxnSpPr/>
      </xdr:nvCxnSpPr>
      <xdr:spPr>
        <a:xfrm>
          <a:off x="5231946" y="13280571"/>
          <a:ext cx="714375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94</xdr:row>
      <xdr:rowOff>197826</xdr:rowOff>
    </xdr:from>
    <xdr:to>
      <xdr:col>10</xdr:col>
      <xdr:colOff>0</xdr:colOff>
      <xdr:row>97</xdr:row>
      <xdr:rowOff>0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6E58E449-C535-44A9-9078-C303E3AF7943}"/>
            </a:ext>
          </a:extLst>
        </xdr:cNvPr>
        <xdr:cNvCxnSpPr/>
      </xdr:nvCxnSpPr>
      <xdr:spPr>
        <a:xfrm>
          <a:off x="6660696" y="11505362"/>
          <a:ext cx="714375" cy="3940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101</xdr:row>
      <xdr:rowOff>0</xdr:rowOff>
    </xdr:from>
    <xdr:to>
      <xdr:col>10</xdr:col>
      <xdr:colOff>0</xdr:colOff>
      <xdr:row>103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B5EF7D2F-EBA6-44AF-BB3B-3F4D7546C796}"/>
            </a:ext>
          </a:extLst>
        </xdr:cNvPr>
        <xdr:cNvCxnSpPr/>
      </xdr:nvCxnSpPr>
      <xdr:spPr>
        <a:xfrm>
          <a:off x="666069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0</xdr:colOff>
      <xdr:row>109</xdr:row>
      <xdr:rowOff>0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F1ACDB8-182F-45CC-B33F-F1BB718CABB4}"/>
            </a:ext>
          </a:extLst>
        </xdr:cNvPr>
        <xdr:cNvCxnSpPr/>
      </xdr:nvCxnSpPr>
      <xdr:spPr>
        <a:xfrm>
          <a:off x="6660696" y="13872482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98</xdr:row>
      <xdr:rowOff>0</xdr:rowOff>
    </xdr:from>
    <xdr:to>
      <xdr:col>10</xdr:col>
      <xdr:colOff>0</xdr:colOff>
      <xdr:row>100</xdr:row>
      <xdr:rowOff>0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3454BF35-2585-4E2D-8DAA-4CABE5C14736}"/>
            </a:ext>
          </a:extLst>
        </xdr:cNvPr>
        <xdr:cNvCxnSpPr/>
      </xdr:nvCxnSpPr>
      <xdr:spPr>
        <a:xfrm flipV="1">
          <a:off x="6660697" y="12096750"/>
          <a:ext cx="714374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101</xdr:row>
      <xdr:rowOff>0</xdr:rowOff>
    </xdr:from>
    <xdr:to>
      <xdr:col>12</xdr:col>
      <xdr:colOff>0</xdr:colOff>
      <xdr:row>103</xdr:row>
      <xdr:rowOff>0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DB25916C-2B8C-4F60-8941-C36D096BCCE0}"/>
            </a:ext>
          </a:extLst>
        </xdr:cNvPr>
        <xdr:cNvCxnSpPr/>
      </xdr:nvCxnSpPr>
      <xdr:spPr>
        <a:xfrm flipV="1">
          <a:off x="8089446" y="12688661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104</xdr:row>
      <xdr:rowOff>0</xdr:rowOff>
    </xdr:from>
    <xdr:to>
      <xdr:col>10</xdr:col>
      <xdr:colOff>0</xdr:colOff>
      <xdr:row>106</xdr:row>
      <xdr:rowOff>0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4B49D16D-33EB-4FA5-B000-0B42D2846FAC}"/>
            </a:ext>
          </a:extLst>
        </xdr:cNvPr>
        <xdr:cNvCxnSpPr/>
      </xdr:nvCxnSpPr>
      <xdr:spPr>
        <a:xfrm flipV="1">
          <a:off x="6660696" y="13280571"/>
          <a:ext cx="714375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0</xdr:colOff>
      <xdr:row>94</xdr:row>
      <xdr:rowOff>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1FD4BB0D-93BB-4FAB-913E-40FCDBE35A0D}"/>
            </a:ext>
          </a:extLst>
        </xdr:cNvPr>
        <xdr:cNvCxnSpPr/>
      </xdr:nvCxnSpPr>
      <xdr:spPr>
        <a:xfrm flipV="1">
          <a:off x="6660696" y="1091292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95</xdr:row>
      <xdr:rowOff>0</xdr:rowOff>
    </xdr:from>
    <xdr:to>
      <xdr:col>12</xdr:col>
      <xdr:colOff>0</xdr:colOff>
      <xdr:row>97</xdr:row>
      <xdr:rowOff>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52C1BA65-3EE2-4018-9C2E-B09037C54C68}"/>
            </a:ext>
          </a:extLst>
        </xdr:cNvPr>
        <xdr:cNvCxnSpPr/>
      </xdr:nvCxnSpPr>
      <xdr:spPr>
        <a:xfrm flipV="1">
          <a:off x="8089446" y="1150483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0</xdr:colOff>
      <xdr:row>109</xdr:row>
      <xdr:rowOff>0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A4BE1D7A-101E-4757-B54F-9FEAED60FA0F}"/>
            </a:ext>
          </a:extLst>
        </xdr:cNvPr>
        <xdr:cNvCxnSpPr/>
      </xdr:nvCxnSpPr>
      <xdr:spPr>
        <a:xfrm flipV="1">
          <a:off x="8089446" y="13872482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89</xdr:row>
      <xdr:rowOff>1</xdr:rowOff>
    </xdr:from>
    <xdr:to>
      <xdr:col>12</xdr:col>
      <xdr:colOff>0</xdr:colOff>
      <xdr:row>91</xdr:row>
      <xdr:rowOff>1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3396535D-3C64-4028-8E02-B0566B6871CF}"/>
            </a:ext>
          </a:extLst>
        </xdr:cNvPr>
        <xdr:cNvCxnSpPr/>
      </xdr:nvCxnSpPr>
      <xdr:spPr>
        <a:xfrm flipV="1">
          <a:off x="8089446" y="1032101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0</xdr:colOff>
      <xdr:row>94</xdr:row>
      <xdr:rowOff>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167EA1B7-93AC-4A41-9676-D763855C05A4}"/>
            </a:ext>
          </a:extLst>
        </xdr:cNvPr>
        <xdr:cNvCxnSpPr/>
      </xdr:nvCxnSpPr>
      <xdr:spPr>
        <a:xfrm>
          <a:off x="8089446" y="1091292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110</xdr:row>
      <xdr:rowOff>0</xdr:rowOff>
    </xdr:from>
    <xdr:to>
      <xdr:col>12</xdr:col>
      <xdr:colOff>0</xdr:colOff>
      <xdr:row>112</xdr:row>
      <xdr:rowOff>11906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B158E1C4-08AA-4175-9D46-C710270EF51E}"/>
            </a:ext>
          </a:extLst>
        </xdr:cNvPr>
        <xdr:cNvCxnSpPr/>
      </xdr:nvCxnSpPr>
      <xdr:spPr>
        <a:xfrm>
          <a:off x="8089447" y="14464393"/>
          <a:ext cx="714374" cy="4065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104</xdr:row>
      <xdr:rowOff>0</xdr:rowOff>
    </xdr:from>
    <xdr:to>
      <xdr:col>12</xdr:col>
      <xdr:colOff>0</xdr:colOff>
      <xdr:row>106</xdr:row>
      <xdr:rowOff>0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EB7D6CB8-2135-4DDC-B7E3-BD17D6E87683}"/>
            </a:ext>
          </a:extLst>
        </xdr:cNvPr>
        <xdr:cNvCxnSpPr/>
      </xdr:nvCxnSpPr>
      <xdr:spPr>
        <a:xfrm>
          <a:off x="8089447" y="13280571"/>
          <a:ext cx="714374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98</xdr:row>
      <xdr:rowOff>0</xdr:rowOff>
    </xdr:from>
    <xdr:to>
      <xdr:col>12</xdr:col>
      <xdr:colOff>0</xdr:colOff>
      <xdr:row>100</xdr:row>
      <xdr:rowOff>0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939483E1-1D02-4471-BDE2-702906EBA671}"/>
            </a:ext>
          </a:extLst>
        </xdr:cNvPr>
        <xdr:cNvCxnSpPr/>
      </xdr:nvCxnSpPr>
      <xdr:spPr>
        <a:xfrm>
          <a:off x="8089446" y="12096750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86</xdr:row>
      <xdr:rowOff>1</xdr:rowOff>
    </xdr:from>
    <xdr:to>
      <xdr:col>14</xdr:col>
      <xdr:colOff>0</xdr:colOff>
      <xdr:row>88</xdr:row>
      <xdr:rowOff>0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C3F98DF7-896A-472D-9469-0B7C994122AA}"/>
            </a:ext>
          </a:extLst>
        </xdr:cNvPr>
        <xdr:cNvCxnSpPr/>
      </xdr:nvCxnSpPr>
      <xdr:spPr>
        <a:xfrm flipV="1">
          <a:off x="9518196" y="9729108"/>
          <a:ext cx="714375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0</xdr:colOff>
      <xdr:row>94</xdr:row>
      <xdr:rowOff>0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703FAB69-EE04-4070-A754-7AF12192B83C}"/>
            </a:ext>
          </a:extLst>
        </xdr:cNvPr>
        <xdr:cNvCxnSpPr/>
      </xdr:nvCxnSpPr>
      <xdr:spPr>
        <a:xfrm flipV="1">
          <a:off x="9518196" y="10912929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98</xdr:row>
      <xdr:rowOff>1</xdr:rowOff>
    </xdr:from>
    <xdr:to>
      <xdr:col>14</xdr:col>
      <xdr:colOff>0</xdr:colOff>
      <xdr:row>100</xdr:row>
      <xdr:rowOff>0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B16981B2-C096-4C9E-95A7-710792D4C6A3}"/>
            </a:ext>
          </a:extLst>
        </xdr:cNvPr>
        <xdr:cNvCxnSpPr/>
      </xdr:nvCxnSpPr>
      <xdr:spPr>
        <a:xfrm flipV="1">
          <a:off x="9518196" y="12096751"/>
          <a:ext cx="714375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104</xdr:row>
      <xdr:rowOff>5953</xdr:rowOff>
    </xdr:from>
    <xdr:to>
      <xdr:col>14</xdr:col>
      <xdr:colOff>0</xdr:colOff>
      <xdr:row>106</xdr:row>
      <xdr:rowOff>5953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A2C24AB2-05AE-4CB7-9B5F-54537A269A8C}"/>
            </a:ext>
          </a:extLst>
        </xdr:cNvPr>
        <xdr:cNvCxnSpPr/>
      </xdr:nvCxnSpPr>
      <xdr:spPr>
        <a:xfrm flipV="1">
          <a:off x="9518196" y="13286524"/>
          <a:ext cx="714375" cy="3946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109</xdr:row>
      <xdr:rowOff>196453</xdr:rowOff>
    </xdr:from>
    <xdr:to>
      <xdr:col>14</xdr:col>
      <xdr:colOff>0</xdr:colOff>
      <xdr:row>111</xdr:row>
      <xdr:rowOff>196453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1B12404C-610A-4D7D-AF95-B938FA03B1D3}"/>
            </a:ext>
          </a:extLst>
        </xdr:cNvPr>
        <xdr:cNvCxnSpPr/>
      </xdr:nvCxnSpPr>
      <xdr:spPr>
        <a:xfrm flipV="1">
          <a:off x="9518196" y="14463542"/>
          <a:ext cx="714375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89</xdr:row>
      <xdr:rowOff>0</xdr:rowOff>
    </xdr:from>
    <xdr:to>
      <xdr:col>14</xdr:col>
      <xdr:colOff>0</xdr:colOff>
      <xdr:row>91</xdr:row>
      <xdr:rowOff>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F2464304-E64A-4290-ACC2-4567E6DCD29E}"/>
            </a:ext>
          </a:extLst>
        </xdr:cNvPr>
        <xdr:cNvCxnSpPr/>
      </xdr:nvCxnSpPr>
      <xdr:spPr>
        <a:xfrm>
          <a:off x="9518197" y="10321018"/>
          <a:ext cx="714374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95</xdr:row>
      <xdr:rowOff>1</xdr:rowOff>
    </xdr:from>
    <xdr:to>
      <xdr:col>14</xdr:col>
      <xdr:colOff>0</xdr:colOff>
      <xdr:row>97</xdr:row>
      <xdr:rowOff>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C66D041C-01ED-471E-ABC0-C7F061DA9EE9}"/>
            </a:ext>
          </a:extLst>
        </xdr:cNvPr>
        <xdr:cNvCxnSpPr/>
      </xdr:nvCxnSpPr>
      <xdr:spPr>
        <a:xfrm>
          <a:off x="9518197" y="11504840"/>
          <a:ext cx="714374" cy="394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101</xdr:row>
      <xdr:rowOff>0</xdr:rowOff>
    </xdr:from>
    <xdr:to>
      <xdr:col>14</xdr:col>
      <xdr:colOff>0</xdr:colOff>
      <xdr:row>103</xdr:row>
      <xdr:rowOff>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4BD0ED36-FC46-4984-8112-1B516CBBEFFC}"/>
            </a:ext>
          </a:extLst>
        </xdr:cNvPr>
        <xdr:cNvCxnSpPr/>
      </xdr:nvCxnSpPr>
      <xdr:spPr>
        <a:xfrm>
          <a:off x="9518197" y="12688661"/>
          <a:ext cx="714374" cy="3946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107</xdr:row>
      <xdr:rowOff>0</xdr:rowOff>
    </xdr:from>
    <xdr:to>
      <xdr:col>14</xdr:col>
      <xdr:colOff>0</xdr:colOff>
      <xdr:row>108</xdr:row>
      <xdr:rowOff>202405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6F71AE-6BDA-4F88-8613-C2294AD33C77}"/>
            </a:ext>
          </a:extLst>
        </xdr:cNvPr>
        <xdr:cNvCxnSpPr/>
      </xdr:nvCxnSpPr>
      <xdr:spPr>
        <a:xfrm>
          <a:off x="9518197" y="13872482"/>
          <a:ext cx="714374" cy="3997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113</xdr:row>
      <xdr:rowOff>0</xdr:rowOff>
    </xdr:from>
    <xdr:to>
      <xdr:col>14</xdr:col>
      <xdr:colOff>0</xdr:colOff>
      <xdr:row>115</xdr:row>
      <xdr:rowOff>11906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D6A1314B-4060-4731-A928-87816B879FAF}"/>
            </a:ext>
          </a:extLst>
        </xdr:cNvPr>
        <xdr:cNvCxnSpPr/>
      </xdr:nvCxnSpPr>
      <xdr:spPr>
        <a:xfrm>
          <a:off x="9518197" y="15056304"/>
          <a:ext cx="714374" cy="3997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81</xdr:row>
      <xdr:rowOff>0</xdr:rowOff>
    </xdr:from>
    <xdr:ext cx="1351717" cy="1986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B18B4B78-6F47-48C6-A88A-8D45FCAA3022}"/>
                </a:ext>
              </a:extLst>
            </xdr:cNvPr>
            <xdr:cNvSpPr txBox="1"/>
          </xdr:nvSpPr>
          <xdr:spPr>
            <a:xfrm>
              <a:off x="609600" y="8566150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𝐸𝑢𝑟𝑜𝑝𝑒𝑎𝑛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𝑃𝑢𝑡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B18B4B78-6F47-48C6-A88A-8D45FCAA3022}"/>
                </a:ext>
              </a:extLst>
            </xdr:cNvPr>
            <xdr:cNvSpPr txBox="1"/>
          </xdr:nvSpPr>
          <xdr:spPr>
            <a:xfrm>
              <a:off x="609600" y="8566150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𝐸𝑢𝑟𝑜𝑝𝑒𝑎𝑛 𝑃𝑢𝑡 𝑉𝑎𝑙𝑢𝑒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12700</xdr:colOff>
      <xdr:row>1</xdr:row>
      <xdr:rowOff>115336</xdr:rowOff>
    </xdr:from>
    <xdr:ext cx="223520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9A9011A2-2A5E-847C-47EB-7C9E7F1B5816}"/>
                </a:ext>
              </a:extLst>
            </xdr:cNvPr>
            <xdr:cNvSpPr txBox="1"/>
          </xdr:nvSpPr>
          <xdr:spPr>
            <a:xfrm>
              <a:off x="622300" y="305836"/>
              <a:ext cx="22352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𝐼𝑛𝑝𝑢𝑡𝑠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9A9011A2-2A5E-847C-47EB-7C9E7F1B5816}"/>
                </a:ext>
              </a:extLst>
            </xdr:cNvPr>
            <xdr:cNvSpPr txBox="1"/>
          </xdr:nvSpPr>
          <xdr:spPr>
            <a:xfrm>
              <a:off x="622300" y="305836"/>
              <a:ext cx="22352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𝐼𝑛𝑝𝑢𝑡𝑠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4</xdr:row>
      <xdr:rowOff>0</xdr:rowOff>
    </xdr:from>
    <xdr:ext cx="71755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946F86CB-6914-46B6-B517-4F329693A283}"/>
                </a:ext>
              </a:extLst>
            </xdr:cNvPr>
            <xdr:cNvSpPr txBox="1"/>
          </xdr:nvSpPr>
          <xdr:spPr>
            <a:xfrm>
              <a:off x="3575050" y="1085850"/>
              <a:ext cx="71755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600" b="0" i="1">
                        <a:latin typeface="Cambria Math" panose="02040503050406030204" pitchFamily="18" charset="0"/>
                      </a:rPr>
                      <m:t>𝐴𝑚𝑒𝑟𝑖𝑐𝑎𝑛</m:t>
                    </m:r>
                    <m:r>
                      <a:rPr lang="en-US" sz="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6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600" b="0" i="1">
                        <a:latin typeface="Cambria Math" panose="02040503050406030204" pitchFamily="18" charset="0"/>
                      </a:rPr>
                      <m:t>𝑂𝑝𝑡𝑖𝑜𝑛𝑠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946F86CB-6914-46B6-B517-4F329693A283}"/>
                </a:ext>
              </a:extLst>
            </xdr:cNvPr>
            <xdr:cNvSpPr txBox="1"/>
          </xdr:nvSpPr>
          <xdr:spPr>
            <a:xfrm>
              <a:off x="3575050" y="1085850"/>
              <a:ext cx="71755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600" b="0" i="0">
                  <a:latin typeface="Cambria Math" panose="02040503050406030204" pitchFamily="18" charset="0"/>
                </a:rPr>
                <a:t>𝐴𝑚𝑒𝑟𝑖𝑐𝑎𝑛 </a:t>
              </a:r>
              <a:endParaRPr lang="en-US" sz="600" b="0" i="1">
                <a:latin typeface="Cambria Math" panose="02040503050406030204" pitchFamily="18" charset="0"/>
              </a:endParaRPr>
            </a:p>
            <a:p>
              <a:r>
                <a:rPr lang="en-US" sz="600" b="0" i="0">
                  <a:latin typeface="Cambria Math" panose="02040503050406030204" pitchFamily="18" charset="0"/>
                </a:rPr>
                <a:t>𝑂𝑝𝑡𝑖𝑜𝑛𝑠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6</xdr:col>
      <xdr:colOff>0</xdr:colOff>
      <xdr:row>7</xdr:row>
      <xdr:rowOff>0</xdr:rowOff>
    </xdr:from>
    <xdr:ext cx="71755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9D23C8D5-7513-4F69-8DD3-15C02CD9354A}"/>
                </a:ext>
              </a:extLst>
            </xdr:cNvPr>
            <xdr:cNvSpPr txBox="1"/>
          </xdr:nvSpPr>
          <xdr:spPr>
            <a:xfrm>
              <a:off x="3575050" y="704850"/>
              <a:ext cx="71755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600" b="0" i="1">
                        <a:latin typeface="Cambria Math" panose="02040503050406030204" pitchFamily="18" charset="0"/>
                      </a:rPr>
                      <m:t>𝐸𝑢𝑟𝑜𝑝𝑒𝑎𝑛</m:t>
                    </m:r>
                    <m:r>
                      <a:rPr lang="en-US" sz="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6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600" b="0" i="1">
                        <a:latin typeface="Cambria Math" panose="02040503050406030204" pitchFamily="18" charset="0"/>
                      </a:rPr>
                      <m:t>𝑂𝑝𝑡𝑖𝑜𝑛𝑠</m:t>
                    </m:r>
                  </m:oMath>
                </m:oMathPara>
              </a14:m>
              <a:endParaRPr lang="en-US" sz="800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9D23C8D5-7513-4F69-8DD3-15C02CD9354A}"/>
                </a:ext>
              </a:extLst>
            </xdr:cNvPr>
            <xdr:cNvSpPr txBox="1"/>
          </xdr:nvSpPr>
          <xdr:spPr>
            <a:xfrm>
              <a:off x="3575050" y="704850"/>
              <a:ext cx="717550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600" b="0" i="0">
                  <a:latin typeface="Cambria Math" panose="02040503050406030204" pitchFamily="18" charset="0"/>
                </a:rPr>
                <a:t>𝐸𝑢𝑟𝑜𝑝𝑒𝑎𝑛 </a:t>
              </a:r>
              <a:endParaRPr lang="en-US" sz="600" b="0" i="1">
                <a:latin typeface="Cambria Math" panose="02040503050406030204" pitchFamily="18" charset="0"/>
              </a:endParaRPr>
            </a:p>
            <a:p>
              <a:r>
                <a:rPr lang="en-US" sz="600" b="0" i="0">
                  <a:latin typeface="Cambria Math" panose="02040503050406030204" pitchFamily="18" charset="0"/>
                </a:rPr>
                <a:t>𝑂𝑝𝑡𝑖𝑜𝑛𝑠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6</xdr:col>
      <xdr:colOff>0</xdr:colOff>
      <xdr:row>1</xdr:row>
      <xdr:rowOff>102636</xdr:rowOff>
    </xdr:from>
    <xdr:ext cx="358775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CE26B618-31C5-4963-3EDC-6166BEAEA2EC}"/>
                </a:ext>
              </a:extLst>
            </xdr:cNvPr>
            <xdr:cNvSpPr txBox="1"/>
          </xdr:nvSpPr>
          <xdr:spPr>
            <a:xfrm>
              <a:off x="3575050" y="293136"/>
              <a:ext cx="358775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𝑂𝑢𝑡𝑝𝑢𝑡𝑠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CE26B618-31C5-4963-3EDC-6166BEAEA2EC}"/>
                </a:ext>
              </a:extLst>
            </xdr:cNvPr>
            <xdr:cNvSpPr txBox="1"/>
          </xdr:nvSpPr>
          <xdr:spPr>
            <a:xfrm>
              <a:off x="3575050" y="293136"/>
              <a:ext cx="358775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𝑂𝑢𝑡𝑝𝑢𝑡𝑠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0</xdr:colOff>
      <xdr:row>136</xdr:row>
      <xdr:rowOff>0</xdr:rowOff>
    </xdr:from>
    <xdr:to>
      <xdr:col>6</xdr:col>
      <xdr:colOff>0</xdr:colOff>
      <xdr:row>138</xdr:row>
      <xdr:rowOff>0</xdr:rowOff>
    </xdr:to>
    <xdr:cxnSp macro="">
      <xdr:nvCxnSpPr>
        <xdr:cNvPr id="432" name="Straight Connector 431">
          <a:extLst>
            <a:ext uri="{FF2B5EF4-FFF2-40B4-BE49-F238E27FC236}">
              <a16:creationId xmlns:a16="http://schemas.microsoft.com/office/drawing/2014/main" id="{05E8C72C-A6E7-400F-8D7A-9AAB3D284731}"/>
            </a:ext>
          </a:extLst>
        </xdr:cNvPr>
        <xdr:cNvCxnSpPr/>
      </xdr:nvCxnSpPr>
      <xdr:spPr>
        <a:xfrm flipV="1">
          <a:off x="2857500" y="119824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0</xdr:colOff>
      <xdr:row>141</xdr:row>
      <xdr:rowOff>0</xdr:rowOff>
    </xdr:to>
    <xdr:cxnSp macro="">
      <xdr:nvCxnSpPr>
        <xdr:cNvPr id="433" name="Straight Connector 432">
          <a:extLst>
            <a:ext uri="{FF2B5EF4-FFF2-40B4-BE49-F238E27FC236}">
              <a16:creationId xmlns:a16="http://schemas.microsoft.com/office/drawing/2014/main" id="{E5AD527B-05F0-4721-8AC8-2229FE9CBCC3}"/>
            </a:ext>
          </a:extLst>
        </xdr:cNvPr>
        <xdr:cNvCxnSpPr/>
      </xdr:nvCxnSpPr>
      <xdr:spPr>
        <a:xfrm>
          <a:off x="28575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0</xdr:colOff>
      <xdr:row>138</xdr:row>
      <xdr:rowOff>0</xdr:rowOff>
    </xdr:to>
    <xdr:cxnSp macro="">
      <xdr:nvCxnSpPr>
        <xdr:cNvPr id="434" name="Straight Connector 433">
          <a:extLst>
            <a:ext uri="{FF2B5EF4-FFF2-40B4-BE49-F238E27FC236}">
              <a16:creationId xmlns:a16="http://schemas.microsoft.com/office/drawing/2014/main" id="{D821BBB3-CB6E-4A69-AF52-122335A14728}"/>
            </a:ext>
          </a:extLst>
        </xdr:cNvPr>
        <xdr:cNvCxnSpPr/>
      </xdr:nvCxnSpPr>
      <xdr:spPr>
        <a:xfrm>
          <a:off x="4292600" y="119824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0</xdr:colOff>
      <xdr:row>141</xdr:row>
      <xdr:rowOff>0</xdr:rowOff>
    </xdr:to>
    <xdr:cxnSp macro="">
      <xdr:nvCxnSpPr>
        <xdr:cNvPr id="435" name="Straight Connector 434">
          <a:extLst>
            <a:ext uri="{FF2B5EF4-FFF2-40B4-BE49-F238E27FC236}">
              <a16:creationId xmlns:a16="http://schemas.microsoft.com/office/drawing/2014/main" id="{D33E8095-DC9F-4E53-AD03-E7C8C71B5CF8}"/>
            </a:ext>
          </a:extLst>
        </xdr:cNvPr>
        <xdr:cNvCxnSpPr/>
      </xdr:nvCxnSpPr>
      <xdr:spPr>
        <a:xfrm flipV="1">
          <a:off x="42926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133</xdr:row>
      <xdr:rowOff>0</xdr:rowOff>
    </xdr:from>
    <xdr:to>
      <xdr:col>8</xdr:col>
      <xdr:colOff>0</xdr:colOff>
      <xdr:row>135</xdr:row>
      <xdr:rowOff>0</xdr:rowOff>
    </xdr:to>
    <xdr:cxnSp macro="">
      <xdr:nvCxnSpPr>
        <xdr:cNvPr id="436" name="Straight Connector 435">
          <a:extLst>
            <a:ext uri="{FF2B5EF4-FFF2-40B4-BE49-F238E27FC236}">
              <a16:creationId xmlns:a16="http://schemas.microsoft.com/office/drawing/2014/main" id="{854F7556-267A-4F84-A140-D0259D4856C7}"/>
            </a:ext>
          </a:extLst>
        </xdr:cNvPr>
        <xdr:cNvCxnSpPr/>
      </xdr:nvCxnSpPr>
      <xdr:spPr>
        <a:xfrm flipV="1">
          <a:off x="4292600" y="113728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0</xdr:colOff>
      <xdr:row>144</xdr:row>
      <xdr:rowOff>0</xdr:rowOff>
    </xdr:to>
    <xdr:cxnSp macro="">
      <xdr:nvCxnSpPr>
        <xdr:cNvPr id="437" name="Straight Connector 436">
          <a:extLst>
            <a:ext uri="{FF2B5EF4-FFF2-40B4-BE49-F238E27FC236}">
              <a16:creationId xmlns:a16="http://schemas.microsoft.com/office/drawing/2014/main" id="{F05A6B69-31CB-4D30-8A87-137D6D537A30}"/>
            </a:ext>
          </a:extLst>
        </xdr:cNvPr>
        <xdr:cNvCxnSpPr/>
      </xdr:nvCxnSpPr>
      <xdr:spPr>
        <a:xfrm>
          <a:off x="4292600" y="132016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136</xdr:row>
      <xdr:rowOff>0</xdr:rowOff>
    </xdr:from>
    <xdr:to>
      <xdr:col>10</xdr:col>
      <xdr:colOff>0</xdr:colOff>
      <xdr:row>138</xdr:row>
      <xdr:rowOff>0</xdr:rowOff>
    </xdr:to>
    <xdr:cxnSp macro="">
      <xdr:nvCxnSpPr>
        <xdr:cNvPr id="438" name="Straight Connector 437">
          <a:extLst>
            <a:ext uri="{FF2B5EF4-FFF2-40B4-BE49-F238E27FC236}">
              <a16:creationId xmlns:a16="http://schemas.microsoft.com/office/drawing/2014/main" id="{F045389B-1B7E-45C8-934F-C1E0D3F0112F}"/>
            </a:ext>
          </a:extLst>
        </xdr:cNvPr>
        <xdr:cNvCxnSpPr/>
      </xdr:nvCxnSpPr>
      <xdr:spPr>
        <a:xfrm flipV="1">
          <a:off x="5727701" y="119824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0</xdr:colOff>
      <xdr:row>141</xdr:row>
      <xdr:rowOff>0</xdr:rowOff>
    </xdr:to>
    <xdr:cxnSp macro="">
      <xdr:nvCxnSpPr>
        <xdr:cNvPr id="439" name="Straight Connector 438">
          <a:extLst>
            <a:ext uri="{FF2B5EF4-FFF2-40B4-BE49-F238E27FC236}">
              <a16:creationId xmlns:a16="http://schemas.microsoft.com/office/drawing/2014/main" id="{3F0AD7FD-5E9C-4DBC-A4DC-AAF2925D6D92}"/>
            </a:ext>
          </a:extLst>
        </xdr:cNvPr>
        <xdr:cNvCxnSpPr/>
      </xdr:nvCxnSpPr>
      <xdr:spPr>
        <a:xfrm flipV="1">
          <a:off x="71628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133</xdr:row>
      <xdr:rowOff>0</xdr:rowOff>
    </xdr:from>
    <xdr:to>
      <xdr:col>12</xdr:col>
      <xdr:colOff>0</xdr:colOff>
      <xdr:row>135</xdr:row>
      <xdr:rowOff>0</xdr:rowOff>
    </xdr:to>
    <xdr:cxnSp macro="">
      <xdr:nvCxnSpPr>
        <xdr:cNvPr id="440" name="Straight Connector 439">
          <a:extLst>
            <a:ext uri="{FF2B5EF4-FFF2-40B4-BE49-F238E27FC236}">
              <a16:creationId xmlns:a16="http://schemas.microsoft.com/office/drawing/2014/main" id="{4513BE35-3231-46DC-98FC-110332659FB4}"/>
            </a:ext>
          </a:extLst>
        </xdr:cNvPr>
        <xdr:cNvCxnSpPr/>
      </xdr:nvCxnSpPr>
      <xdr:spPr>
        <a:xfrm flipV="1">
          <a:off x="7162800" y="113728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145</xdr:row>
      <xdr:rowOff>0</xdr:rowOff>
    </xdr:from>
    <xdr:to>
      <xdr:col>12</xdr:col>
      <xdr:colOff>0</xdr:colOff>
      <xdr:row>147</xdr:row>
      <xdr:rowOff>0</xdr:rowOff>
    </xdr:to>
    <xdr:cxnSp macro="">
      <xdr:nvCxnSpPr>
        <xdr:cNvPr id="441" name="Straight Connector 440">
          <a:extLst>
            <a:ext uri="{FF2B5EF4-FFF2-40B4-BE49-F238E27FC236}">
              <a16:creationId xmlns:a16="http://schemas.microsoft.com/office/drawing/2014/main" id="{57E8D002-C6F1-40A2-A786-B518D8AEA2E6}"/>
            </a:ext>
          </a:extLst>
        </xdr:cNvPr>
        <xdr:cNvCxnSpPr/>
      </xdr:nvCxnSpPr>
      <xdr:spPr>
        <a:xfrm flipV="1">
          <a:off x="7162800" y="13811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1</xdr:rowOff>
    </xdr:from>
    <xdr:to>
      <xdr:col>12</xdr:col>
      <xdr:colOff>0</xdr:colOff>
      <xdr:row>129</xdr:row>
      <xdr:rowOff>1</xdr:rowOff>
    </xdr:to>
    <xdr:cxnSp macro="">
      <xdr:nvCxnSpPr>
        <xdr:cNvPr id="442" name="Straight Connector 441">
          <a:extLst>
            <a:ext uri="{FF2B5EF4-FFF2-40B4-BE49-F238E27FC236}">
              <a16:creationId xmlns:a16="http://schemas.microsoft.com/office/drawing/2014/main" id="{ABFD4609-59AE-499A-97A0-1AFA42D1ECCA}"/>
            </a:ext>
          </a:extLst>
        </xdr:cNvPr>
        <xdr:cNvCxnSpPr/>
      </xdr:nvCxnSpPr>
      <xdr:spPr>
        <a:xfrm flipV="1">
          <a:off x="7162800" y="10153651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148</xdr:row>
      <xdr:rowOff>0</xdr:rowOff>
    </xdr:from>
    <xdr:to>
      <xdr:col>12</xdr:col>
      <xdr:colOff>0</xdr:colOff>
      <xdr:row>150</xdr:row>
      <xdr:rowOff>11906</xdr:rowOff>
    </xdr:to>
    <xdr:cxnSp macro="">
      <xdr:nvCxnSpPr>
        <xdr:cNvPr id="443" name="Straight Connector 442">
          <a:extLst>
            <a:ext uri="{FF2B5EF4-FFF2-40B4-BE49-F238E27FC236}">
              <a16:creationId xmlns:a16="http://schemas.microsoft.com/office/drawing/2014/main" id="{E9FAC822-7DEE-4DC5-8101-1E94098D2FD2}"/>
            </a:ext>
          </a:extLst>
        </xdr:cNvPr>
        <xdr:cNvCxnSpPr/>
      </xdr:nvCxnSpPr>
      <xdr:spPr>
        <a:xfrm>
          <a:off x="7162801" y="14420850"/>
          <a:ext cx="717549" cy="4183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142</xdr:row>
      <xdr:rowOff>0</xdr:rowOff>
    </xdr:from>
    <xdr:to>
      <xdr:col>12</xdr:col>
      <xdr:colOff>0</xdr:colOff>
      <xdr:row>144</xdr:row>
      <xdr:rowOff>0</xdr:rowOff>
    </xdr:to>
    <xdr:cxnSp macro="">
      <xdr:nvCxnSpPr>
        <xdr:cNvPr id="444" name="Straight Connector 443">
          <a:extLst>
            <a:ext uri="{FF2B5EF4-FFF2-40B4-BE49-F238E27FC236}">
              <a16:creationId xmlns:a16="http://schemas.microsoft.com/office/drawing/2014/main" id="{7B8AD559-912E-4DA4-AF4A-11F85C8F34B1}"/>
            </a:ext>
          </a:extLst>
        </xdr:cNvPr>
        <xdr:cNvCxnSpPr/>
      </xdr:nvCxnSpPr>
      <xdr:spPr>
        <a:xfrm>
          <a:off x="7162801" y="132016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124</xdr:row>
      <xdr:rowOff>1</xdr:rowOff>
    </xdr:from>
    <xdr:to>
      <xdr:col>14</xdr:col>
      <xdr:colOff>0</xdr:colOff>
      <xdr:row>126</xdr:row>
      <xdr:rowOff>0</xdr:rowOff>
    </xdr:to>
    <xdr:cxnSp macro="">
      <xdr:nvCxnSpPr>
        <xdr:cNvPr id="445" name="Straight Connector 444">
          <a:extLst>
            <a:ext uri="{FF2B5EF4-FFF2-40B4-BE49-F238E27FC236}">
              <a16:creationId xmlns:a16="http://schemas.microsoft.com/office/drawing/2014/main" id="{B996B45B-65A1-416D-8731-4103DE4BF27F}"/>
            </a:ext>
          </a:extLst>
        </xdr:cNvPr>
        <xdr:cNvCxnSpPr/>
      </xdr:nvCxnSpPr>
      <xdr:spPr>
        <a:xfrm flipV="1">
          <a:off x="8597900" y="95440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0</xdr:colOff>
      <xdr:row>132</xdr:row>
      <xdr:rowOff>0</xdr:rowOff>
    </xdr:to>
    <xdr:cxnSp macro="">
      <xdr:nvCxnSpPr>
        <xdr:cNvPr id="446" name="Straight Connector 445">
          <a:extLst>
            <a:ext uri="{FF2B5EF4-FFF2-40B4-BE49-F238E27FC236}">
              <a16:creationId xmlns:a16="http://schemas.microsoft.com/office/drawing/2014/main" id="{23552E18-0D6B-419D-82C6-E8124E7530EB}"/>
            </a:ext>
          </a:extLst>
        </xdr:cNvPr>
        <xdr:cNvCxnSpPr/>
      </xdr:nvCxnSpPr>
      <xdr:spPr>
        <a:xfrm flipV="1">
          <a:off x="8597900" y="10763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136</xdr:row>
      <xdr:rowOff>1</xdr:rowOff>
    </xdr:from>
    <xdr:to>
      <xdr:col>14</xdr:col>
      <xdr:colOff>0</xdr:colOff>
      <xdr:row>138</xdr:row>
      <xdr:rowOff>0</xdr:rowOff>
    </xdr:to>
    <xdr:cxnSp macro="">
      <xdr:nvCxnSpPr>
        <xdr:cNvPr id="447" name="Straight Connector 446">
          <a:extLst>
            <a:ext uri="{FF2B5EF4-FFF2-40B4-BE49-F238E27FC236}">
              <a16:creationId xmlns:a16="http://schemas.microsoft.com/office/drawing/2014/main" id="{9F2EB995-7AFB-4C6B-A06E-FFBE053F4938}"/>
            </a:ext>
          </a:extLst>
        </xdr:cNvPr>
        <xdr:cNvCxnSpPr/>
      </xdr:nvCxnSpPr>
      <xdr:spPr>
        <a:xfrm flipV="1">
          <a:off x="8597900" y="119824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142</xdr:row>
      <xdr:rowOff>5953</xdr:rowOff>
    </xdr:from>
    <xdr:to>
      <xdr:col>14</xdr:col>
      <xdr:colOff>0</xdr:colOff>
      <xdr:row>144</xdr:row>
      <xdr:rowOff>5953</xdr:rowOff>
    </xdr:to>
    <xdr:cxnSp macro="">
      <xdr:nvCxnSpPr>
        <xdr:cNvPr id="448" name="Straight Connector 447">
          <a:extLst>
            <a:ext uri="{FF2B5EF4-FFF2-40B4-BE49-F238E27FC236}">
              <a16:creationId xmlns:a16="http://schemas.microsoft.com/office/drawing/2014/main" id="{FAF4C8C3-ED1B-4FA6-8CC5-C958444011EE}"/>
            </a:ext>
          </a:extLst>
        </xdr:cNvPr>
        <xdr:cNvCxnSpPr/>
      </xdr:nvCxnSpPr>
      <xdr:spPr>
        <a:xfrm flipV="1">
          <a:off x="8597900" y="132076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147</xdr:row>
      <xdr:rowOff>196453</xdr:rowOff>
    </xdr:from>
    <xdr:to>
      <xdr:col>14</xdr:col>
      <xdr:colOff>0</xdr:colOff>
      <xdr:row>149</xdr:row>
      <xdr:rowOff>196453</xdr:rowOff>
    </xdr:to>
    <xdr:cxnSp macro="">
      <xdr:nvCxnSpPr>
        <xdr:cNvPr id="449" name="Straight Connector 448">
          <a:extLst>
            <a:ext uri="{FF2B5EF4-FFF2-40B4-BE49-F238E27FC236}">
              <a16:creationId xmlns:a16="http://schemas.microsoft.com/office/drawing/2014/main" id="{D1FC6075-536B-4B87-BA1B-17BA59D58FE4}"/>
            </a:ext>
          </a:extLst>
        </xdr:cNvPr>
        <xdr:cNvCxnSpPr/>
      </xdr:nvCxnSpPr>
      <xdr:spPr>
        <a:xfrm flipV="1">
          <a:off x="8597900" y="144141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127</xdr:row>
      <xdr:rowOff>0</xdr:rowOff>
    </xdr:from>
    <xdr:to>
      <xdr:col>14</xdr:col>
      <xdr:colOff>0</xdr:colOff>
      <xdr:row>129</xdr:row>
      <xdr:rowOff>0</xdr:rowOff>
    </xdr:to>
    <xdr:cxnSp macro="">
      <xdr:nvCxnSpPr>
        <xdr:cNvPr id="450" name="Straight Connector 449">
          <a:extLst>
            <a:ext uri="{FF2B5EF4-FFF2-40B4-BE49-F238E27FC236}">
              <a16:creationId xmlns:a16="http://schemas.microsoft.com/office/drawing/2014/main" id="{CF42A530-DD58-4CAD-9514-90CEB37BF561}"/>
            </a:ext>
          </a:extLst>
        </xdr:cNvPr>
        <xdr:cNvCxnSpPr/>
      </xdr:nvCxnSpPr>
      <xdr:spPr>
        <a:xfrm>
          <a:off x="8597901" y="101536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133</xdr:row>
      <xdr:rowOff>1</xdr:rowOff>
    </xdr:from>
    <xdr:to>
      <xdr:col>14</xdr:col>
      <xdr:colOff>0</xdr:colOff>
      <xdr:row>135</xdr:row>
      <xdr:rowOff>0</xdr:rowOff>
    </xdr:to>
    <xdr:cxnSp macro="">
      <xdr:nvCxnSpPr>
        <xdr:cNvPr id="451" name="Straight Connector 450">
          <a:extLst>
            <a:ext uri="{FF2B5EF4-FFF2-40B4-BE49-F238E27FC236}">
              <a16:creationId xmlns:a16="http://schemas.microsoft.com/office/drawing/2014/main" id="{44FB0FD8-9462-492D-9830-D04F7967AC11}"/>
            </a:ext>
          </a:extLst>
        </xdr:cNvPr>
        <xdr:cNvCxnSpPr/>
      </xdr:nvCxnSpPr>
      <xdr:spPr>
        <a:xfrm>
          <a:off x="8597901" y="11372851"/>
          <a:ext cx="717549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139</xdr:row>
      <xdr:rowOff>0</xdr:rowOff>
    </xdr:from>
    <xdr:to>
      <xdr:col>14</xdr:col>
      <xdr:colOff>0</xdr:colOff>
      <xdr:row>141</xdr:row>
      <xdr:rowOff>0</xdr:rowOff>
    </xdr:to>
    <xdr:cxnSp macro="">
      <xdr:nvCxnSpPr>
        <xdr:cNvPr id="452" name="Straight Connector 451">
          <a:extLst>
            <a:ext uri="{FF2B5EF4-FFF2-40B4-BE49-F238E27FC236}">
              <a16:creationId xmlns:a16="http://schemas.microsoft.com/office/drawing/2014/main" id="{4449F35A-BBE7-4D2B-A0C7-64C71867A71C}"/>
            </a:ext>
          </a:extLst>
        </xdr:cNvPr>
        <xdr:cNvCxnSpPr/>
      </xdr:nvCxnSpPr>
      <xdr:spPr>
        <a:xfrm>
          <a:off x="8597901" y="125920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145</xdr:row>
      <xdr:rowOff>0</xdr:rowOff>
    </xdr:from>
    <xdr:to>
      <xdr:col>14</xdr:col>
      <xdr:colOff>0</xdr:colOff>
      <xdr:row>146</xdr:row>
      <xdr:rowOff>202405</xdr:rowOff>
    </xdr:to>
    <xdr:cxnSp macro="">
      <xdr:nvCxnSpPr>
        <xdr:cNvPr id="453" name="Straight Connector 452">
          <a:extLst>
            <a:ext uri="{FF2B5EF4-FFF2-40B4-BE49-F238E27FC236}">
              <a16:creationId xmlns:a16="http://schemas.microsoft.com/office/drawing/2014/main" id="{99F4E308-CF84-4972-B513-4D7E041C555B}"/>
            </a:ext>
          </a:extLst>
        </xdr:cNvPr>
        <xdr:cNvCxnSpPr/>
      </xdr:nvCxnSpPr>
      <xdr:spPr>
        <a:xfrm>
          <a:off x="8597901" y="13811250"/>
          <a:ext cx="717549" cy="4056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151</xdr:row>
      <xdr:rowOff>0</xdr:rowOff>
    </xdr:from>
    <xdr:to>
      <xdr:col>14</xdr:col>
      <xdr:colOff>0</xdr:colOff>
      <xdr:row>153</xdr:row>
      <xdr:rowOff>11906</xdr:rowOff>
    </xdr:to>
    <xdr:cxnSp macro="">
      <xdr:nvCxnSpPr>
        <xdr:cNvPr id="454" name="Straight Connector 453">
          <a:extLst>
            <a:ext uri="{FF2B5EF4-FFF2-40B4-BE49-F238E27FC236}">
              <a16:creationId xmlns:a16="http://schemas.microsoft.com/office/drawing/2014/main" id="{9B162946-BB72-4055-AC59-9B77196CBA8B}"/>
            </a:ext>
          </a:extLst>
        </xdr:cNvPr>
        <xdr:cNvCxnSpPr/>
      </xdr:nvCxnSpPr>
      <xdr:spPr>
        <a:xfrm>
          <a:off x="8597901" y="15030450"/>
          <a:ext cx="717549" cy="405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136</xdr:row>
      <xdr:rowOff>0</xdr:rowOff>
    </xdr:from>
    <xdr:to>
      <xdr:col>6</xdr:col>
      <xdr:colOff>0</xdr:colOff>
      <xdr:row>138</xdr:row>
      <xdr:rowOff>0</xdr:rowOff>
    </xdr:to>
    <xdr:cxnSp macro="">
      <xdr:nvCxnSpPr>
        <xdr:cNvPr id="455" name="Straight Connector 454">
          <a:extLst>
            <a:ext uri="{FF2B5EF4-FFF2-40B4-BE49-F238E27FC236}">
              <a16:creationId xmlns:a16="http://schemas.microsoft.com/office/drawing/2014/main" id="{F359881A-A428-4C8B-95EF-76225AC5C6B0}"/>
            </a:ext>
          </a:extLst>
        </xdr:cNvPr>
        <xdr:cNvCxnSpPr/>
      </xdr:nvCxnSpPr>
      <xdr:spPr>
        <a:xfrm flipV="1">
          <a:off x="2857500" y="119824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0</xdr:colOff>
      <xdr:row>141</xdr:row>
      <xdr:rowOff>0</xdr:rowOff>
    </xdr:to>
    <xdr:cxnSp macro="">
      <xdr:nvCxnSpPr>
        <xdr:cNvPr id="456" name="Straight Connector 455">
          <a:extLst>
            <a:ext uri="{FF2B5EF4-FFF2-40B4-BE49-F238E27FC236}">
              <a16:creationId xmlns:a16="http://schemas.microsoft.com/office/drawing/2014/main" id="{D4D61FD3-CE91-47F4-9E24-11CF3F7D681C}"/>
            </a:ext>
          </a:extLst>
        </xdr:cNvPr>
        <xdr:cNvCxnSpPr/>
      </xdr:nvCxnSpPr>
      <xdr:spPr>
        <a:xfrm>
          <a:off x="28575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0</xdr:colOff>
      <xdr:row>138</xdr:row>
      <xdr:rowOff>0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id="{75B9E7AD-7A13-4A38-84DC-39D7B4C4C9B9}"/>
            </a:ext>
          </a:extLst>
        </xdr:cNvPr>
        <xdr:cNvCxnSpPr/>
      </xdr:nvCxnSpPr>
      <xdr:spPr>
        <a:xfrm>
          <a:off x="4292600" y="119824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0</xdr:colOff>
      <xdr:row>141</xdr:row>
      <xdr:rowOff>0</xdr:rowOff>
    </xdr:to>
    <xdr:cxnSp macro="">
      <xdr:nvCxnSpPr>
        <xdr:cNvPr id="458" name="Straight Connector 457">
          <a:extLst>
            <a:ext uri="{FF2B5EF4-FFF2-40B4-BE49-F238E27FC236}">
              <a16:creationId xmlns:a16="http://schemas.microsoft.com/office/drawing/2014/main" id="{91B11D65-996A-415C-A1AB-11002C68E4FE}"/>
            </a:ext>
          </a:extLst>
        </xdr:cNvPr>
        <xdr:cNvCxnSpPr/>
      </xdr:nvCxnSpPr>
      <xdr:spPr>
        <a:xfrm flipV="1">
          <a:off x="42926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133</xdr:row>
      <xdr:rowOff>0</xdr:rowOff>
    </xdr:from>
    <xdr:to>
      <xdr:col>8</xdr:col>
      <xdr:colOff>0</xdr:colOff>
      <xdr:row>135</xdr:row>
      <xdr:rowOff>0</xdr:rowOff>
    </xdr:to>
    <xdr:cxnSp macro="">
      <xdr:nvCxnSpPr>
        <xdr:cNvPr id="459" name="Straight Connector 458">
          <a:extLst>
            <a:ext uri="{FF2B5EF4-FFF2-40B4-BE49-F238E27FC236}">
              <a16:creationId xmlns:a16="http://schemas.microsoft.com/office/drawing/2014/main" id="{DDA9D317-FC66-4F34-A4FA-EF8E09182308}"/>
            </a:ext>
          </a:extLst>
        </xdr:cNvPr>
        <xdr:cNvCxnSpPr/>
      </xdr:nvCxnSpPr>
      <xdr:spPr>
        <a:xfrm flipV="1">
          <a:off x="4292600" y="113728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0</xdr:colOff>
      <xdr:row>144</xdr:row>
      <xdr:rowOff>0</xdr:rowOff>
    </xdr:to>
    <xdr:cxnSp macro="">
      <xdr:nvCxnSpPr>
        <xdr:cNvPr id="460" name="Straight Connector 459">
          <a:extLst>
            <a:ext uri="{FF2B5EF4-FFF2-40B4-BE49-F238E27FC236}">
              <a16:creationId xmlns:a16="http://schemas.microsoft.com/office/drawing/2014/main" id="{877BABDD-2060-4114-B97F-B79CB2E97C39}"/>
            </a:ext>
          </a:extLst>
        </xdr:cNvPr>
        <xdr:cNvCxnSpPr/>
      </xdr:nvCxnSpPr>
      <xdr:spPr>
        <a:xfrm>
          <a:off x="4292600" y="132016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132</xdr:row>
      <xdr:rowOff>197826</xdr:rowOff>
    </xdr:from>
    <xdr:to>
      <xdr:col>10</xdr:col>
      <xdr:colOff>0</xdr:colOff>
      <xdr:row>135</xdr:row>
      <xdr:rowOff>0</xdr:rowOff>
    </xdr:to>
    <xdr:cxnSp macro="">
      <xdr:nvCxnSpPr>
        <xdr:cNvPr id="461" name="Straight Connector 460">
          <a:extLst>
            <a:ext uri="{FF2B5EF4-FFF2-40B4-BE49-F238E27FC236}">
              <a16:creationId xmlns:a16="http://schemas.microsoft.com/office/drawing/2014/main" id="{50E8D6DB-3311-4C48-824F-F464E74F66ED}"/>
            </a:ext>
          </a:extLst>
        </xdr:cNvPr>
        <xdr:cNvCxnSpPr/>
      </xdr:nvCxnSpPr>
      <xdr:spPr>
        <a:xfrm>
          <a:off x="5727700" y="11367476"/>
          <a:ext cx="717550" cy="41177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0</xdr:colOff>
      <xdr:row>141</xdr:row>
      <xdr:rowOff>0</xdr:rowOff>
    </xdr:to>
    <xdr:cxnSp macro="">
      <xdr:nvCxnSpPr>
        <xdr:cNvPr id="462" name="Straight Connector 461">
          <a:extLst>
            <a:ext uri="{FF2B5EF4-FFF2-40B4-BE49-F238E27FC236}">
              <a16:creationId xmlns:a16="http://schemas.microsoft.com/office/drawing/2014/main" id="{B56611FB-893A-402C-BCFF-56611191359D}"/>
            </a:ext>
          </a:extLst>
        </xdr:cNvPr>
        <xdr:cNvCxnSpPr/>
      </xdr:nvCxnSpPr>
      <xdr:spPr>
        <a:xfrm>
          <a:off x="57277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145</xdr:row>
      <xdr:rowOff>0</xdr:rowOff>
    </xdr:from>
    <xdr:to>
      <xdr:col>10</xdr:col>
      <xdr:colOff>0</xdr:colOff>
      <xdr:row>147</xdr:row>
      <xdr:rowOff>0</xdr:rowOff>
    </xdr:to>
    <xdr:cxnSp macro="">
      <xdr:nvCxnSpPr>
        <xdr:cNvPr id="463" name="Straight Connector 462">
          <a:extLst>
            <a:ext uri="{FF2B5EF4-FFF2-40B4-BE49-F238E27FC236}">
              <a16:creationId xmlns:a16="http://schemas.microsoft.com/office/drawing/2014/main" id="{FFDC7B92-FBF9-482F-9E8E-C67288797550}"/>
            </a:ext>
          </a:extLst>
        </xdr:cNvPr>
        <xdr:cNvCxnSpPr/>
      </xdr:nvCxnSpPr>
      <xdr:spPr>
        <a:xfrm>
          <a:off x="5727700" y="13811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136</xdr:row>
      <xdr:rowOff>0</xdr:rowOff>
    </xdr:from>
    <xdr:to>
      <xdr:col>10</xdr:col>
      <xdr:colOff>0</xdr:colOff>
      <xdr:row>138</xdr:row>
      <xdr:rowOff>0</xdr:rowOff>
    </xdr:to>
    <xdr:cxnSp macro="">
      <xdr:nvCxnSpPr>
        <xdr:cNvPr id="464" name="Straight Connector 463">
          <a:extLst>
            <a:ext uri="{FF2B5EF4-FFF2-40B4-BE49-F238E27FC236}">
              <a16:creationId xmlns:a16="http://schemas.microsoft.com/office/drawing/2014/main" id="{A8C4BA54-4242-47CC-9F5B-E8852DB8A4EA}"/>
            </a:ext>
          </a:extLst>
        </xdr:cNvPr>
        <xdr:cNvCxnSpPr/>
      </xdr:nvCxnSpPr>
      <xdr:spPr>
        <a:xfrm flipV="1">
          <a:off x="5727701" y="119824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0</xdr:colOff>
      <xdr:row>141</xdr:row>
      <xdr:rowOff>0</xdr:rowOff>
    </xdr:to>
    <xdr:cxnSp macro="">
      <xdr:nvCxnSpPr>
        <xdr:cNvPr id="465" name="Straight Connector 464">
          <a:extLst>
            <a:ext uri="{FF2B5EF4-FFF2-40B4-BE49-F238E27FC236}">
              <a16:creationId xmlns:a16="http://schemas.microsoft.com/office/drawing/2014/main" id="{34BA43D0-39E0-4BA1-ADFC-CED4D5C4C3BA}"/>
            </a:ext>
          </a:extLst>
        </xdr:cNvPr>
        <xdr:cNvCxnSpPr/>
      </xdr:nvCxnSpPr>
      <xdr:spPr>
        <a:xfrm flipV="1">
          <a:off x="7162800" y="125920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0</xdr:colOff>
      <xdr:row>144</xdr:row>
      <xdr:rowOff>0</xdr:rowOff>
    </xdr:to>
    <xdr:cxnSp macro="">
      <xdr:nvCxnSpPr>
        <xdr:cNvPr id="466" name="Straight Connector 465">
          <a:extLst>
            <a:ext uri="{FF2B5EF4-FFF2-40B4-BE49-F238E27FC236}">
              <a16:creationId xmlns:a16="http://schemas.microsoft.com/office/drawing/2014/main" id="{9FF3D7C4-C413-4FB3-B360-62E613268B3A}"/>
            </a:ext>
          </a:extLst>
        </xdr:cNvPr>
        <xdr:cNvCxnSpPr/>
      </xdr:nvCxnSpPr>
      <xdr:spPr>
        <a:xfrm flipV="1">
          <a:off x="5727700" y="132016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130</xdr:row>
      <xdr:rowOff>0</xdr:rowOff>
    </xdr:from>
    <xdr:to>
      <xdr:col>10</xdr:col>
      <xdr:colOff>0</xdr:colOff>
      <xdr:row>132</xdr:row>
      <xdr:rowOff>0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6F279B66-F671-45BF-BAE1-CD223C476675}"/>
            </a:ext>
          </a:extLst>
        </xdr:cNvPr>
        <xdr:cNvCxnSpPr/>
      </xdr:nvCxnSpPr>
      <xdr:spPr>
        <a:xfrm flipV="1">
          <a:off x="5727700" y="10763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133</xdr:row>
      <xdr:rowOff>0</xdr:rowOff>
    </xdr:from>
    <xdr:to>
      <xdr:col>12</xdr:col>
      <xdr:colOff>0</xdr:colOff>
      <xdr:row>135</xdr:row>
      <xdr:rowOff>0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id="{EAF485E3-8C3E-41B1-B99A-E477243B04F5}"/>
            </a:ext>
          </a:extLst>
        </xdr:cNvPr>
        <xdr:cNvCxnSpPr/>
      </xdr:nvCxnSpPr>
      <xdr:spPr>
        <a:xfrm flipV="1">
          <a:off x="7162800" y="113728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145</xdr:row>
      <xdr:rowOff>0</xdr:rowOff>
    </xdr:from>
    <xdr:to>
      <xdr:col>12</xdr:col>
      <xdr:colOff>0</xdr:colOff>
      <xdr:row>147</xdr:row>
      <xdr:rowOff>0</xdr:rowOff>
    </xdr:to>
    <xdr:cxnSp macro="">
      <xdr:nvCxnSpPr>
        <xdr:cNvPr id="469" name="Straight Connector 468">
          <a:extLst>
            <a:ext uri="{FF2B5EF4-FFF2-40B4-BE49-F238E27FC236}">
              <a16:creationId xmlns:a16="http://schemas.microsoft.com/office/drawing/2014/main" id="{38558FC4-7963-439A-8922-600A0878ABA6}"/>
            </a:ext>
          </a:extLst>
        </xdr:cNvPr>
        <xdr:cNvCxnSpPr/>
      </xdr:nvCxnSpPr>
      <xdr:spPr>
        <a:xfrm flipV="1">
          <a:off x="7162800" y="13811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1</xdr:rowOff>
    </xdr:from>
    <xdr:to>
      <xdr:col>12</xdr:col>
      <xdr:colOff>0</xdr:colOff>
      <xdr:row>129</xdr:row>
      <xdr:rowOff>1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id="{92B5B750-BB6C-4531-B47B-58DFF12B971A}"/>
            </a:ext>
          </a:extLst>
        </xdr:cNvPr>
        <xdr:cNvCxnSpPr/>
      </xdr:nvCxnSpPr>
      <xdr:spPr>
        <a:xfrm flipV="1">
          <a:off x="7162800" y="10153651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130</xdr:row>
      <xdr:rowOff>0</xdr:rowOff>
    </xdr:from>
    <xdr:to>
      <xdr:col>12</xdr:col>
      <xdr:colOff>0</xdr:colOff>
      <xdr:row>132</xdr:row>
      <xdr:rowOff>0</xdr:rowOff>
    </xdr:to>
    <xdr:cxnSp macro="">
      <xdr:nvCxnSpPr>
        <xdr:cNvPr id="471" name="Straight Connector 470">
          <a:extLst>
            <a:ext uri="{FF2B5EF4-FFF2-40B4-BE49-F238E27FC236}">
              <a16:creationId xmlns:a16="http://schemas.microsoft.com/office/drawing/2014/main" id="{DC9B8910-253A-4468-8D79-28988717FF4A}"/>
            </a:ext>
          </a:extLst>
        </xdr:cNvPr>
        <xdr:cNvCxnSpPr/>
      </xdr:nvCxnSpPr>
      <xdr:spPr>
        <a:xfrm>
          <a:off x="7162800" y="10763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148</xdr:row>
      <xdr:rowOff>0</xdr:rowOff>
    </xdr:from>
    <xdr:to>
      <xdr:col>12</xdr:col>
      <xdr:colOff>0</xdr:colOff>
      <xdr:row>150</xdr:row>
      <xdr:rowOff>11906</xdr:rowOff>
    </xdr:to>
    <xdr:cxnSp macro="">
      <xdr:nvCxnSpPr>
        <xdr:cNvPr id="472" name="Straight Connector 471">
          <a:extLst>
            <a:ext uri="{FF2B5EF4-FFF2-40B4-BE49-F238E27FC236}">
              <a16:creationId xmlns:a16="http://schemas.microsoft.com/office/drawing/2014/main" id="{F0FFC062-FAE8-420D-B450-C278361CB4A3}"/>
            </a:ext>
          </a:extLst>
        </xdr:cNvPr>
        <xdr:cNvCxnSpPr/>
      </xdr:nvCxnSpPr>
      <xdr:spPr>
        <a:xfrm>
          <a:off x="7162801" y="14420850"/>
          <a:ext cx="717549" cy="4183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142</xdr:row>
      <xdr:rowOff>0</xdr:rowOff>
    </xdr:from>
    <xdr:to>
      <xdr:col>12</xdr:col>
      <xdr:colOff>0</xdr:colOff>
      <xdr:row>144</xdr:row>
      <xdr:rowOff>0</xdr:rowOff>
    </xdr:to>
    <xdr:cxnSp macro="">
      <xdr:nvCxnSpPr>
        <xdr:cNvPr id="473" name="Straight Connector 472">
          <a:extLst>
            <a:ext uri="{FF2B5EF4-FFF2-40B4-BE49-F238E27FC236}">
              <a16:creationId xmlns:a16="http://schemas.microsoft.com/office/drawing/2014/main" id="{37A88570-12AC-46A4-9745-7E57B60CFA6A}"/>
            </a:ext>
          </a:extLst>
        </xdr:cNvPr>
        <xdr:cNvCxnSpPr/>
      </xdr:nvCxnSpPr>
      <xdr:spPr>
        <a:xfrm>
          <a:off x="7162801" y="132016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136</xdr:row>
      <xdr:rowOff>0</xdr:rowOff>
    </xdr:from>
    <xdr:to>
      <xdr:col>12</xdr:col>
      <xdr:colOff>0</xdr:colOff>
      <xdr:row>138</xdr:row>
      <xdr:rowOff>0</xdr:rowOff>
    </xdr:to>
    <xdr:cxnSp macro="">
      <xdr:nvCxnSpPr>
        <xdr:cNvPr id="474" name="Straight Connector 473">
          <a:extLst>
            <a:ext uri="{FF2B5EF4-FFF2-40B4-BE49-F238E27FC236}">
              <a16:creationId xmlns:a16="http://schemas.microsoft.com/office/drawing/2014/main" id="{EC239EDC-6F6D-4D1C-B604-8D38630CBB68}"/>
            </a:ext>
          </a:extLst>
        </xdr:cNvPr>
        <xdr:cNvCxnSpPr/>
      </xdr:nvCxnSpPr>
      <xdr:spPr>
        <a:xfrm>
          <a:off x="7162800" y="119824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124</xdr:row>
      <xdr:rowOff>1</xdr:rowOff>
    </xdr:from>
    <xdr:to>
      <xdr:col>14</xdr:col>
      <xdr:colOff>0</xdr:colOff>
      <xdr:row>126</xdr:row>
      <xdr:rowOff>0</xdr:rowOff>
    </xdr:to>
    <xdr:cxnSp macro="">
      <xdr:nvCxnSpPr>
        <xdr:cNvPr id="475" name="Straight Connector 474">
          <a:extLst>
            <a:ext uri="{FF2B5EF4-FFF2-40B4-BE49-F238E27FC236}">
              <a16:creationId xmlns:a16="http://schemas.microsoft.com/office/drawing/2014/main" id="{B342E9AA-29A7-43EC-AF6A-463BBB4AD3AC}"/>
            </a:ext>
          </a:extLst>
        </xdr:cNvPr>
        <xdr:cNvCxnSpPr/>
      </xdr:nvCxnSpPr>
      <xdr:spPr>
        <a:xfrm flipV="1">
          <a:off x="8597900" y="95440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0</xdr:colOff>
      <xdr:row>132</xdr:row>
      <xdr:rowOff>0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id="{7568813B-94B3-4D7E-8572-3BBF1A128FA4}"/>
            </a:ext>
          </a:extLst>
        </xdr:cNvPr>
        <xdr:cNvCxnSpPr/>
      </xdr:nvCxnSpPr>
      <xdr:spPr>
        <a:xfrm flipV="1">
          <a:off x="8597900" y="107632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136</xdr:row>
      <xdr:rowOff>1</xdr:rowOff>
    </xdr:from>
    <xdr:to>
      <xdr:col>14</xdr:col>
      <xdr:colOff>0</xdr:colOff>
      <xdr:row>138</xdr:row>
      <xdr:rowOff>0</xdr:rowOff>
    </xdr:to>
    <xdr:cxnSp macro="">
      <xdr:nvCxnSpPr>
        <xdr:cNvPr id="477" name="Straight Connector 476">
          <a:extLst>
            <a:ext uri="{FF2B5EF4-FFF2-40B4-BE49-F238E27FC236}">
              <a16:creationId xmlns:a16="http://schemas.microsoft.com/office/drawing/2014/main" id="{F6DB0A8C-28BE-49DC-9D37-4EFA6958D3AE}"/>
            </a:ext>
          </a:extLst>
        </xdr:cNvPr>
        <xdr:cNvCxnSpPr/>
      </xdr:nvCxnSpPr>
      <xdr:spPr>
        <a:xfrm flipV="1">
          <a:off x="8597900" y="119824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142</xdr:row>
      <xdr:rowOff>5953</xdr:rowOff>
    </xdr:from>
    <xdr:to>
      <xdr:col>14</xdr:col>
      <xdr:colOff>0</xdr:colOff>
      <xdr:row>144</xdr:row>
      <xdr:rowOff>5953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id="{56FFB22D-0C33-4451-A08F-FDDBC87D153B}"/>
            </a:ext>
          </a:extLst>
        </xdr:cNvPr>
        <xdr:cNvCxnSpPr/>
      </xdr:nvCxnSpPr>
      <xdr:spPr>
        <a:xfrm flipV="1">
          <a:off x="8597900" y="132076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147</xdr:row>
      <xdr:rowOff>196453</xdr:rowOff>
    </xdr:from>
    <xdr:to>
      <xdr:col>14</xdr:col>
      <xdr:colOff>0</xdr:colOff>
      <xdr:row>149</xdr:row>
      <xdr:rowOff>196453</xdr:rowOff>
    </xdr:to>
    <xdr:cxnSp macro="">
      <xdr:nvCxnSpPr>
        <xdr:cNvPr id="479" name="Straight Connector 478">
          <a:extLst>
            <a:ext uri="{FF2B5EF4-FFF2-40B4-BE49-F238E27FC236}">
              <a16:creationId xmlns:a16="http://schemas.microsoft.com/office/drawing/2014/main" id="{585B8E0F-9F81-4F58-ACAE-ED4F278B643F}"/>
            </a:ext>
          </a:extLst>
        </xdr:cNvPr>
        <xdr:cNvCxnSpPr/>
      </xdr:nvCxnSpPr>
      <xdr:spPr>
        <a:xfrm flipV="1">
          <a:off x="8597900" y="144141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127</xdr:row>
      <xdr:rowOff>0</xdr:rowOff>
    </xdr:from>
    <xdr:to>
      <xdr:col>14</xdr:col>
      <xdr:colOff>0</xdr:colOff>
      <xdr:row>129</xdr:row>
      <xdr:rowOff>0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id="{58A33D89-10A5-4233-84F0-28ECB26A5039}"/>
            </a:ext>
          </a:extLst>
        </xdr:cNvPr>
        <xdr:cNvCxnSpPr/>
      </xdr:nvCxnSpPr>
      <xdr:spPr>
        <a:xfrm>
          <a:off x="8597901" y="101536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133</xdr:row>
      <xdr:rowOff>1</xdr:rowOff>
    </xdr:from>
    <xdr:to>
      <xdr:col>14</xdr:col>
      <xdr:colOff>0</xdr:colOff>
      <xdr:row>135</xdr:row>
      <xdr:rowOff>0</xdr:rowOff>
    </xdr:to>
    <xdr:cxnSp macro="">
      <xdr:nvCxnSpPr>
        <xdr:cNvPr id="481" name="Straight Connector 480">
          <a:extLst>
            <a:ext uri="{FF2B5EF4-FFF2-40B4-BE49-F238E27FC236}">
              <a16:creationId xmlns:a16="http://schemas.microsoft.com/office/drawing/2014/main" id="{2BA61762-AAF4-47CF-8A3A-77B467EC481A}"/>
            </a:ext>
          </a:extLst>
        </xdr:cNvPr>
        <xdr:cNvCxnSpPr/>
      </xdr:nvCxnSpPr>
      <xdr:spPr>
        <a:xfrm>
          <a:off x="8597901" y="11372851"/>
          <a:ext cx="717549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139</xdr:row>
      <xdr:rowOff>0</xdr:rowOff>
    </xdr:from>
    <xdr:to>
      <xdr:col>14</xdr:col>
      <xdr:colOff>0</xdr:colOff>
      <xdr:row>141</xdr:row>
      <xdr:rowOff>0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BBD03C89-3128-410B-90A5-EA340307D006}"/>
            </a:ext>
          </a:extLst>
        </xdr:cNvPr>
        <xdr:cNvCxnSpPr/>
      </xdr:nvCxnSpPr>
      <xdr:spPr>
        <a:xfrm>
          <a:off x="8597901" y="125920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145</xdr:row>
      <xdr:rowOff>0</xdr:rowOff>
    </xdr:from>
    <xdr:to>
      <xdr:col>14</xdr:col>
      <xdr:colOff>0</xdr:colOff>
      <xdr:row>146</xdr:row>
      <xdr:rowOff>202405</xdr:rowOff>
    </xdr:to>
    <xdr:cxnSp macro="">
      <xdr:nvCxnSpPr>
        <xdr:cNvPr id="483" name="Straight Connector 482">
          <a:extLst>
            <a:ext uri="{FF2B5EF4-FFF2-40B4-BE49-F238E27FC236}">
              <a16:creationId xmlns:a16="http://schemas.microsoft.com/office/drawing/2014/main" id="{4498CA62-298D-4B44-8DEB-F14D65E73FC9}"/>
            </a:ext>
          </a:extLst>
        </xdr:cNvPr>
        <xdr:cNvCxnSpPr/>
      </xdr:nvCxnSpPr>
      <xdr:spPr>
        <a:xfrm>
          <a:off x="8597901" y="13811250"/>
          <a:ext cx="717549" cy="4056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151</xdr:row>
      <xdr:rowOff>0</xdr:rowOff>
    </xdr:from>
    <xdr:to>
      <xdr:col>14</xdr:col>
      <xdr:colOff>0</xdr:colOff>
      <xdr:row>153</xdr:row>
      <xdr:rowOff>11906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id="{F7856698-886D-404D-AF7A-8B81090BF41D}"/>
            </a:ext>
          </a:extLst>
        </xdr:cNvPr>
        <xdr:cNvCxnSpPr/>
      </xdr:nvCxnSpPr>
      <xdr:spPr>
        <a:xfrm>
          <a:off x="8597901" y="15030450"/>
          <a:ext cx="717549" cy="405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117</xdr:row>
      <xdr:rowOff>182336</xdr:rowOff>
    </xdr:from>
    <xdr:ext cx="1351717" cy="1986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D15E9A99-8E7C-46C5-AB52-C952BEAF3A87}"/>
                </a:ext>
              </a:extLst>
            </xdr:cNvPr>
            <xdr:cNvSpPr txBox="1"/>
          </xdr:nvSpPr>
          <xdr:spPr>
            <a:xfrm>
              <a:off x="609600" y="8938986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𝐴𝑚𝑒𝑟𝑖𝑐𝑎𝑛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𝐶𝑎𝑙𝑙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D15E9A99-8E7C-46C5-AB52-C952BEAF3A87}"/>
                </a:ext>
              </a:extLst>
            </xdr:cNvPr>
            <xdr:cNvSpPr txBox="1"/>
          </xdr:nvSpPr>
          <xdr:spPr>
            <a:xfrm>
              <a:off x="609600" y="8938986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𝐴𝑚𝑒𝑟𝑖𝑐𝑎𝑛 𝐶𝑎𝑙𝑙 𝑉𝑎𝑙𝑢𝑒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0</xdr:colOff>
      <xdr:row>174</xdr:row>
      <xdr:rowOff>0</xdr:rowOff>
    </xdr:from>
    <xdr:to>
      <xdr:col>6</xdr:col>
      <xdr:colOff>0</xdr:colOff>
      <xdr:row>176</xdr:row>
      <xdr:rowOff>0</xdr:rowOff>
    </xdr:to>
    <xdr:cxnSp macro="">
      <xdr:nvCxnSpPr>
        <xdr:cNvPr id="486" name="Straight Connector 485">
          <a:extLst>
            <a:ext uri="{FF2B5EF4-FFF2-40B4-BE49-F238E27FC236}">
              <a16:creationId xmlns:a16="http://schemas.microsoft.com/office/drawing/2014/main" id="{B12AC474-8C50-465C-A4F6-062B6C1444D5}"/>
            </a:ext>
          </a:extLst>
        </xdr:cNvPr>
        <xdr:cNvCxnSpPr/>
      </xdr:nvCxnSpPr>
      <xdr:spPr>
        <a:xfrm flipV="1">
          <a:off x="2857500" y="196151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0</xdr:colOff>
      <xdr:row>179</xdr:row>
      <xdr:rowOff>0</xdr:rowOff>
    </xdr:to>
    <xdr:cxnSp macro="">
      <xdr:nvCxnSpPr>
        <xdr:cNvPr id="487" name="Straight Connector 486">
          <a:extLst>
            <a:ext uri="{FF2B5EF4-FFF2-40B4-BE49-F238E27FC236}">
              <a16:creationId xmlns:a16="http://schemas.microsoft.com/office/drawing/2014/main" id="{9BBE9C42-ECEE-4ECE-BE1C-0D8CCDA70D41}"/>
            </a:ext>
          </a:extLst>
        </xdr:cNvPr>
        <xdr:cNvCxnSpPr/>
      </xdr:nvCxnSpPr>
      <xdr:spPr>
        <a:xfrm>
          <a:off x="28575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174</xdr:row>
      <xdr:rowOff>0</xdr:rowOff>
    </xdr:from>
    <xdr:to>
      <xdr:col>8</xdr:col>
      <xdr:colOff>0</xdr:colOff>
      <xdr:row>176</xdr:row>
      <xdr:rowOff>0</xdr:rowOff>
    </xdr:to>
    <xdr:cxnSp macro="">
      <xdr:nvCxnSpPr>
        <xdr:cNvPr id="488" name="Straight Connector 487">
          <a:extLst>
            <a:ext uri="{FF2B5EF4-FFF2-40B4-BE49-F238E27FC236}">
              <a16:creationId xmlns:a16="http://schemas.microsoft.com/office/drawing/2014/main" id="{7B152E54-492B-4060-A078-5ACC3F07352E}"/>
            </a:ext>
          </a:extLst>
        </xdr:cNvPr>
        <xdr:cNvCxnSpPr/>
      </xdr:nvCxnSpPr>
      <xdr:spPr>
        <a:xfrm>
          <a:off x="4292600" y="196151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0</xdr:colOff>
      <xdr:row>179</xdr:row>
      <xdr:rowOff>0</xdr:rowOff>
    </xdr:to>
    <xdr:cxnSp macro="">
      <xdr:nvCxnSpPr>
        <xdr:cNvPr id="489" name="Straight Connector 488">
          <a:extLst>
            <a:ext uri="{FF2B5EF4-FFF2-40B4-BE49-F238E27FC236}">
              <a16:creationId xmlns:a16="http://schemas.microsoft.com/office/drawing/2014/main" id="{A2CAB9CE-D918-4B53-8533-A5704A4534BD}"/>
            </a:ext>
          </a:extLst>
        </xdr:cNvPr>
        <xdr:cNvCxnSpPr/>
      </xdr:nvCxnSpPr>
      <xdr:spPr>
        <a:xfrm flipV="1">
          <a:off x="42926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171</xdr:row>
      <xdr:rowOff>0</xdr:rowOff>
    </xdr:from>
    <xdr:to>
      <xdr:col>8</xdr:col>
      <xdr:colOff>0</xdr:colOff>
      <xdr:row>173</xdr:row>
      <xdr:rowOff>0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id="{A47EEDD3-1E95-49AB-9CAF-635FFC9A9282}"/>
            </a:ext>
          </a:extLst>
        </xdr:cNvPr>
        <xdr:cNvCxnSpPr/>
      </xdr:nvCxnSpPr>
      <xdr:spPr>
        <a:xfrm flipV="1">
          <a:off x="4292600" y="190055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0</xdr:colOff>
      <xdr:row>182</xdr:row>
      <xdr:rowOff>0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94AEDEB0-E7ED-4EB2-A105-3B067684B8A5}"/>
            </a:ext>
          </a:extLst>
        </xdr:cNvPr>
        <xdr:cNvCxnSpPr/>
      </xdr:nvCxnSpPr>
      <xdr:spPr>
        <a:xfrm>
          <a:off x="4292600" y="208343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174</xdr:row>
      <xdr:rowOff>0</xdr:rowOff>
    </xdr:from>
    <xdr:to>
      <xdr:col>10</xdr:col>
      <xdr:colOff>0</xdr:colOff>
      <xdr:row>176</xdr:row>
      <xdr:rowOff>0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AEAB47F4-DF07-4715-BE52-599730FEAEDC}"/>
            </a:ext>
          </a:extLst>
        </xdr:cNvPr>
        <xdr:cNvCxnSpPr/>
      </xdr:nvCxnSpPr>
      <xdr:spPr>
        <a:xfrm flipV="1">
          <a:off x="5727701" y="196151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177</xdr:row>
      <xdr:rowOff>0</xdr:rowOff>
    </xdr:from>
    <xdr:to>
      <xdr:col>12</xdr:col>
      <xdr:colOff>0</xdr:colOff>
      <xdr:row>179</xdr:row>
      <xdr:rowOff>0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id="{808D014A-5D9D-4154-B916-0904D3BF34B6}"/>
            </a:ext>
          </a:extLst>
        </xdr:cNvPr>
        <xdr:cNvCxnSpPr/>
      </xdr:nvCxnSpPr>
      <xdr:spPr>
        <a:xfrm flipV="1">
          <a:off x="71628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171</xdr:row>
      <xdr:rowOff>0</xdr:rowOff>
    </xdr:from>
    <xdr:to>
      <xdr:col>12</xdr:col>
      <xdr:colOff>0</xdr:colOff>
      <xdr:row>173</xdr:row>
      <xdr:rowOff>0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id="{FAF89DC4-F530-48E0-BDE5-0E808D79049B}"/>
            </a:ext>
          </a:extLst>
        </xdr:cNvPr>
        <xdr:cNvCxnSpPr/>
      </xdr:nvCxnSpPr>
      <xdr:spPr>
        <a:xfrm flipV="1">
          <a:off x="7162800" y="190055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0</xdr:colOff>
      <xdr:row>185</xdr:row>
      <xdr:rowOff>0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id="{6A16368E-C79B-4BAE-99FC-FF0DA4681098}"/>
            </a:ext>
          </a:extLst>
        </xdr:cNvPr>
        <xdr:cNvCxnSpPr/>
      </xdr:nvCxnSpPr>
      <xdr:spPr>
        <a:xfrm flipV="1">
          <a:off x="7162800" y="21443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165</xdr:row>
      <xdr:rowOff>1</xdr:rowOff>
    </xdr:from>
    <xdr:to>
      <xdr:col>12</xdr:col>
      <xdr:colOff>0</xdr:colOff>
      <xdr:row>167</xdr:row>
      <xdr:rowOff>1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id="{64B04176-E6C9-46D1-8946-CA83029469E5}"/>
            </a:ext>
          </a:extLst>
        </xdr:cNvPr>
        <xdr:cNvCxnSpPr/>
      </xdr:nvCxnSpPr>
      <xdr:spPr>
        <a:xfrm flipV="1">
          <a:off x="7162800" y="17786351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186</xdr:row>
      <xdr:rowOff>0</xdr:rowOff>
    </xdr:from>
    <xdr:to>
      <xdr:col>12</xdr:col>
      <xdr:colOff>0</xdr:colOff>
      <xdr:row>188</xdr:row>
      <xdr:rowOff>11906</xdr:rowOff>
    </xdr:to>
    <xdr:cxnSp macro="">
      <xdr:nvCxnSpPr>
        <xdr:cNvPr id="497" name="Straight Connector 496">
          <a:extLst>
            <a:ext uri="{FF2B5EF4-FFF2-40B4-BE49-F238E27FC236}">
              <a16:creationId xmlns:a16="http://schemas.microsoft.com/office/drawing/2014/main" id="{A2567E93-7624-49A2-9C12-BA4D5F08C6B6}"/>
            </a:ext>
          </a:extLst>
        </xdr:cNvPr>
        <xdr:cNvCxnSpPr/>
      </xdr:nvCxnSpPr>
      <xdr:spPr>
        <a:xfrm>
          <a:off x="7162801" y="22053550"/>
          <a:ext cx="717549" cy="4183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180</xdr:row>
      <xdr:rowOff>0</xdr:rowOff>
    </xdr:from>
    <xdr:to>
      <xdr:col>12</xdr:col>
      <xdr:colOff>0</xdr:colOff>
      <xdr:row>182</xdr:row>
      <xdr:rowOff>0</xdr:rowOff>
    </xdr:to>
    <xdr:cxnSp macro="">
      <xdr:nvCxnSpPr>
        <xdr:cNvPr id="498" name="Straight Connector 497">
          <a:extLst>
            <a:ext uri="{FF2B5EF4-FFF2-40B4-BE49-F238E27FC236}">
              <a16:creationId xmlns:a16="http://schemas.microsoft.com/office/drawing/2014/main" id="{0B834CB7-0BD7-4C7A-B844-77AF5EF9BE4A}"/>
            </a:ext>
          </a:extLst>
        </xdr:cNvPr>
        <xdr:cNvCxnSpPr/>
      </xdr:nvCxnSpPr>
      <xdr:spPr>
        <a:xfrm>
          <a:off x="7162801" y="208343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162</xdr:row>
      <xdr:rowOff>1</xdr:rowOff>
    </xdr:from>
    <xdr:to>
      <xdr:col>14</xdr:col>
      <xdr:colOff>0</xdr:colOff>
      <xdr:row>164</xdr:row>
      <xdr:rowOff>0</xdr:rowOff>
    </xdr:to>
    <xdr:cxnSp macro="">
      <xdr:nvCxnSpPr>
        <xdr:cNvPr id="499" name="Straight Connector 498">
          <a:extLst>
            <a:ext uri="{FF2B5EF4-FFF2-40B4-BE49-F238E27FC236}">
              <a16:creationId xmlns:a16="http://schemas.microsoft.com/office/drawing/2014/main" id="{9D15BD46-246B-46A8-B9DA-297B84FB4211}"/>
            </a:ext>
          </a:extLst>
        </xdr:cNvPr>
        <xdr:cNvCxnSpPr/>
      </xdr:nvCxnSpPr>
      <xdr:spPr>
        <a:xfrm flipV="1">
          <a:off x="8597900" y="171767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0</xdr:colOff>
      <xdr:row>170</xdr:row>
      <xdr:rowOff>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CEAC750D-75A1-4AB0-A0D9-EE81500B7F35}"/>
            </a:ext>
          </a:extLst>
        </xdr:cNvPr>
        <xdr:cNvCxnSpPr/>
      </xdr:nvCxnSpPr>
      <xdr:spPr>
        <a:xfrm flipV="1">
          <a:off x="8597900" y="18395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174</xdr:row>
      <xdr:rowOff>1</xdr:rowOff>
    </xdr:from>
    <xdr:to>
      <xdr:col>14</xdr:col>
      <xdr:colOff>0</xdr:colOff>
      <xdr:row>176</xdr:row>
      <xdr:rowOff>0</xdr:rowOff>
    </xdr:to>
    <xdr:cxnSp macro="">
      <xdr:nvCxnSpPr>
        <xdr:cNvPr id="501" name="Straight Connector 500">
          <a:extLst>
            <a:ext uri="{FF2B5EF4-FFF2-40B4-BE49-F238E27FC236}">
              <a16:creationId xmlns:a16="http://schemas.microsoft.com/office/drawing/2014/main" id="{2DA2D880-0199-41E1-A360-E3EB528EEBFD}"/>
            </a:ext>
          </a:extLst>
        </xdr:cNvPr>
        <xdr:cNvCxnSpPr/>
      </xdr:nvCxnSpPr>
      <xdr:spPr>
        <a:xfrm flipV="1">
          <a:off x="8597900" y="196151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180</xdr:row>
      <xdr:rowOff>5953</xdr:rowOff>
    </xdr:from>
    <xdr:to>
      <xdr:col>14</xdr:col>
      <xdr:colOff>0</xdr:colOff>
      <xdr:row>182</xdr:row>
      <xdr:rowOff>5953</xdr:rowOff>
    </xdr:to>
    <xdr:cxnSp macro="">
      <xdr:nvCxnSpPr>
        <xdr:cNvPr id="502" name="Straight Connector 501">
          <a:extLst>
            <a:ext uri="{FF2B5EF4-FFF2-40B4-BE49-F238E27FC236}">
              <a16:creationId xmlns:a16="http://schemas.microsoft.com/office/drawing/2014/main" id="{364873EB-2752-4A4C-B745-0D46ED1004D0}"/>
            </a:ext>
          </a:extLst>
        </xdr:cNvPr>
        <xdr:cNvCxnSpPr/>
      </xdr:nvCxnSpPr>
      <xdr:spPr>
        <a:xfrm flipV="1">
          <a:off x="8597900" y="208403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185</xdr:row>
      <xdr:rowOff>196453</xdr:rowOff>
    </xdr:from>
    <xdr:to>
      <xdr:col>14</xdr:col>
      <xdr:colOff>0</xdr:colOff>
      <xdr:row>187</xdr:row>
      <xdr:rowOff>196453</xdr:rowOff>
    </xdr:to>
    <xdr:cxnSp macro="">
      <xdr:nvCxnSpPr>
        <xdr:cNvPr id="503" name="Straight Connector 502">
          <a:extLst>
            <a:ext uri="{FF2B5EF4-FFF2-40B4-BE49-F238E27FC236}">
              <a16:creationId xmlns:a16="http://schemas.microsoft.com/office/drawing/2014/main" id="{573F3F51-CC46-404A-95FD-3DE0870F4DBE}"/>
            </a:ext>
          </a:extLst>
        </xdr:cNvPr>
        <xdr:cNvCxnSpPr/>
      </xdr:nvCxnSpPr>
      <xdr:spPr>
        <a:xfrm flipV="1">
          <a:off x="8597900" y="220468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165</xdr:row>
      <xdr:rowOff>0</xdr:rowOff>
    </xdr:from>
    <xdr:to>
      <xdr:col>14</xdr:col>
      <xdr:colOff>0</xdr:colOff>
      <xdr:row>167</xdr:row>
      <xdr:rowOff>0</xdr:rowOff>
    </xdr:to>
    <xdr:cxnSp macro="">
      <xdr:nvCxnSpPr>
        <xdr:cNvPr id="504" name="Straight Connector 503">
          <a:extLst>
            <a:ext uri="{FF2B5EF4-FFF2-40B4-BE49-F238E27FC236}">
              <a16:creationId xmlns:a16="http://schemas.microsoft.com/office/drawing/2014/main" id="{39CCE40B-D993-4833-9036-52008DF8259E}"/>
            </a:ext>
          </a:extLst>
        </xdr:cNvPr>
        <xdr:cNvCxnSpPr/>
      </xdr:nvCxnSpPr>
      <xdr:spPr>
        <a:xfrm>
          <a:off x="8597901" y="177863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171</xdr:row>
      <xdr:rowOff>1</xdr:rowOff>
    </xdr:from>
    <xdr:to>
      <xdr:col>14</xdr:col>
      <xdr:colOff>0</xdr:colOff>
      <xdr:row>173</xdr:row>
      <xdr:rowOff>0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4B620717-5B14-4D90-AA24-046CFB9553AE}"/>
            </a:ext>
          </a:extLst>
        </xdr:cNvPr>
        <xdr:cNvCxnSpPr/>
      </xdr:nvCxnSpPr>
      <xdr:spPr>
        <a:xfrm>
          <a:off x="8597901" y="19005551"/>
          <a:ext cx="717549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177</xdr:row>
      <xdr:rowOff>0</xdr:rowOff>
    </xdr:from>
    <xdr:to>
      <xdr:col>14</xdr:col>
      <xdr:colOff>0</xdr:colOff>
      <xdr:row>179</xdr:row>
      <xdr:rowOff>0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FB35AE76-986F-451D-8776-A1E4121C2829}"/>
            </a:ext>
          </a:extLst>
        </xdr:cNvPr>
        <xdr:cNvCxnSpPr/>
      </xdr:nvCxnSpPr>
      <xdr:spPr>
        <a:xfrm>
          <a:off x="8597901" y="202247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183</xdr:row>
      <xdr:rowOff>0</xdr:rowOff>
    </xdr:from>
    <xdr:to>
      <xdr:col>14</xdr:col>
      <xdr:colOff>0</xdr:colOff>
      <xdr:row>184</xdr:row>
      <xdr:rowOff>202405</xdr:rowOff>
    </xdr:to>
    <xdr:cxnSp macro="">
      <xdr:nvCxnSpPr>
        <xdr:cNvPr id="507" name="Straight Connector 506">
          <a:extLst>
            <a:ext uri="{FF2B5EF4-FFF2-40B4-BE49-F238E27FC236}">
              <a16:creationId xmlns:a16="http://schemas.microsoft.com/office/drawing/2014/main" id="{C59EF72B-8611-44FB-B293-618813813279}"/>
            </a:ext>
          </a:extLst>
        </xdr:cNvPr>
        <xdr:cNvCxnSpPr/>
      </xdr:nvCxnSpPr>
      <xdr:spPr>
        <a:xfrm>
          <a:off x="8597901" y="21443950"/>
          <a:ext cx="717549" cy="4056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189</xdr:row>
      <xdr:rowOff>0</xdr:rowOff>
    </xdr:from>
    <xdr:to>
      <xdr:col>14</xdr:col>
      <xdr:colOff>0</xdr:colOff>
      <xdr:row>191</xdr:row>
      <xdr:rowOff>11906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423ADD85-24EA-4BB5-8E88-8FCAFC395D62}"/>
            </a:ext>
          </a:extLst>
        </xdr:cNvPr>
        <xdr:cNvCxnSpPr/>
      </xdr:nvCxnSpPr>
      <xdr:spPr>
        <a:xfrm>
          <a:off x="8597901" y="22663150"/>
          <a:ext cx="717549" cy="405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174</xdr:row>
      <xdr:rowOff>0</xdr:rowOff>
    </xdr:from>
    <xdr:to>
      <xdr:col>6</xdr:col>
      <xdr:colOff>0</xdr:colOff>
      <xdr:row>176</xdr:row>
      <xdr:rowOff>0</xdr:rowOff>
    </xdr:to>
    <xdr:cxnSp macro="">
      <xdr:nvCxnSpPr>
        <xdr:cNvPr id="509" name="Straight Connector 508">
          <a:extLst>
            <a:ext uri="{FF2B5EF4-FFF2-40B4-BE49-F238E27FC236}">
              <a16:creationId xmlns:a16="http://schemas.microsoft.com/office/drawing/2014/main" id="{279D1513-9DA1-48DE-A6F3-183EE296CFCC}"/>
            </a:ext>
          </a:extLst>
        </xdr:cNvPr>
        <xdr:cNvCxnSpPr/>
      </xdr:nvCxnSpPr>
      <xdr:spPr>
        <a:xfrm flipV="1">
          <a:off x="2857500" y="196151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0</xdr:colOff>
      <xdr:row>179</xdr:row>
      <xdr:rowOff>0</xdr:rowOff>
    </xdr:to>
    <xdr:cxnSp macro="">
      <xdr:nvCxnSpPr>
        <xdr:cNvPr id="510" name="Straight Connector 509">
          <a:extLst>
            <a:ext uri="{FF2B5EF4-FFF2-40B4-BE49-F238E27FC236}">
              <a16:creationId xmlns:a16="http://schemas.microsoft.com/office/drawing/2014/main" id="{915246E4-E0C2-4E5E-A6EB-3DA7DA030B47}"/>
            </a:ext>
          </a:extLst>
        </xdr:cNvPr>
        <xdr:cNvCxnSpPr/>
      </xdr:nvCxnSpPr>
      <xdr:spPr>
        <a:xfrm>
          <a:off x="28575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174</xdr:row>
      <xdr:rowOff>0</xdr:rowOff>
    </xdr:from>
    <xdr:to>
      <xdr:col>8</xdr:col>
      <xdr:colOff>0</xdr:colOff>
      <xdr:row>176</xdr:row>
      <xdr:rowOff>0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EE1F0100-15F7-4A46-80AE-6F8DFD50EF43}"/>
            </a:ext>
          </a:extLst>
        </xdr:cNvPr>
        <xdr:cNvCxnSpPr/>
      </xdr:nvCxnSpPr>
      <xdr:spPr>
        <a:xfrm>
          <a:off x="4292600" y="196151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0</xdr:colOff>
      <xdr:row>179</xdr:row>
      <xdr:rowOff>0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1A0B3CB8-657A-4AED-AF29-5503E9202307}"/>
            </a:ext>
          </a:extLst>
        </xdr:cNvPr>
        <xdr:cNvCxnSpPr/>
      </xdr:nvCxnSpPr>
      <xdr:spPr>
        <a:xfrm flipV="1">
          <a:off x="42926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171</xdr:row>
      <xdr:rowOff>0</xdr:rowOff>
    </xdr:from>
    <xdr:to>
      <xdr:col>8</xdr:col>
      <xdr:colOff>0</xdr:colOff>
      <xdr:row>173</xdr:row>
      <xdr:rowOff>0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id="{34017AC7-79D9-490E-8A83-326C95C50B49}"/>
            </a:ext>
          </a:extLst>
        </xdr:cNvPr>
        <xdr:cNvCxnSpPr/>
      </xdr:nvCxnSpPr>
      <xdr:spPr>
        <a:xfrm flipV="1">
          <a:off x="4292600" y="190055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0</xdr:colOff>
      <xdr:row>182</xdr:row>
      <xdr:rowOff>0</xdr:rowOff>
    </xdr:to>
    <xdr:cxnSp macro="">
      <xdr:nvCxnSpPr>
        <xdr:cNvPr id="514" name="Straight Connector 513">
          <a:extLst>
            <a:ext uri="{FF2B5EF4-FFF2-40B4-BE49-F238E27FC236}">
              <a16:creationId xmlns:a16="http://schemas.microsoft.com/office/drawing/2014/main" id="{63A2CC9B-7151-45D9-9818-F9F229F2A6A9}"/>
            </a:ext>
          </a:extLst>
        </xdr:cNvPr>
        <xdr:cNvCxnSpPr/>
      </xdr:nvCxnSpPr>
      <xdr:spPr>
        <a:xfrm>
          <a:off x="4292600" y="208343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170</xdr:row>
      <xdr:rowOff>197826</xdr:rowOff>
    </xdr:from>
    <xdr:to>
      <xdr:col>10</xdr:col>
      <xdr:colOff>0</xdr:colOff>
      <xdr:row>173</xdr:row>
      <xdr:rowOff>0</xdr:rowOff>
    </xdr:to>
    <xdr:cxnSp macro="">
      <xdr:nvCxnSpPr>
        <xdr:cNvPr id="515" name="Straight Connector 514">
          <a:extLst>
            <a:ext uri="{FF2B5EF4-FFF2-40B4-BE49-F238E27FC236}">
              <a16:creationId xmlns:a16="http://schemas.microsoft.com/office/drawing/2014/main" id="{4146F9C2-B9FC-4EF6-B193-302E38CE4792}"/>
            </a:ext>
          </a:extLst>
        </xdr:cNvPr>
        <xdr:cNvCxnSpPr/>
      </xdr:nvCxnSpPr>
      <xdr:spPr>
        <a:xfrm>
          <a:off x="5727700" y="19000176"/>
          <a:ext cx="717550" cy="41177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177</xdr:row>
      <xdr:rowOff>0</xdr:rowOff>
    </xdr:from>
    <xdr:to>
      <xdr:col>10</xdr:col>
      <xdr:colOff>0</xdr:colOff>
      <xdr:row>179</xdr:row>
      <xdr:rowOff>0</xdr:rowOff>
    </xdr:to>
    <xdr:cxnSp macro="">
      <xdr:nvCxnSpPr>
        <xdr:cNvPr id="516" name="Straight Connector 515">
          <a:extLst>
            <a:ext uri="{FF2B5EF4-FFF2-40B4-BE49-F238E27FC236}">
              <a16:creationId xmlns:a16="http://schemas.microsoft.com/office/drawing/2014/main" id="{500520BF-9C91-4E11-A3D0-1C31066525D4}"/>
            </a:ext>
          </a:extLst>
        </xdr:cNvPr>
        <xdr:cNvCxnSpPr/>
      </xdr:nvCxnSpPr>
      <xdr:spPr>
        <a:xfrm>
          <a:off x="57277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0</xdr:colOff>
      <xdr:row>185</xdr:row>
      <xdr:rowOff>0</xdr:rowOff>
    </xdr:to>
    <xdr:cxnSp macro="">
      <xdr:nvCxnSpPr>
        <xdr:cNvPr id="517" name="Straight Connector 516">
          <a:extLst>
            <a:ext uri="{FF2B5EF4-FFF2-40B4-BE49-F238E27FC236}">
              <a16:creationId xmlns:a16="http://schemas.microsoft.com/office/drawing/2014/main" id="{AE099482-0C17-4E64-BB69-BE575DC7D99B}"/>
            </a:ext>
          </a:extLst>
        </xdr:cNvPr>
        <xdr:cNvCxnSpPr/>
      </xdr:nvCxnSpPr>
      <xdr:spPr>
        <a:xfrm>
          <a:off x="5727700" y="21443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174</xdr:row>
      <xdr:rowOff>0</xdr:rowOff>
    </xdr:from>
    <xdr:to>
      <xdr:col>10</xdr:col>
      <xdr:colOff>0</xdr:colOff>
      <xdr:row>176</xdr:row>
      <xdr:rowOff>0</xdr:rowOff>
    </xdr:to>
    <xdr:cxnSp macro="">
      <xdr:nvCxnSpPr>
        <xdr:cNvPr id="518" name="Straight Connector 517">
          <a:extLst>
            <a:ext uri="{FF2B5EF4-FFF2-40B4-BE49-F238E27FC236}">
              <a16:creationId xmlns:a16="http://schemas.microsoft.com/office/drawing/2014/main" id="{0010F51B-C100-43C1-A029-4ABDBE1B6FD6}"/>
            </a:ext>
          </a:extLst>
        </xdr:cNvPr>
        <xdr:cNvCxnSpPr/>
      </xdr:nvCxnSpPr>
      <xdr:spPr>
        <a:xfrm flipV="1">
          <a:off x="5727701" y="196151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177</xdr:row>
      <xdr:rowOff>0</xdr:rowOff>
    </xdr:from>
    <xdr:to>
      <xdr:col>12</xdr:col>
      <xdr:colOff>0</xdr:colOff>
      <xdr:row>179</xdr:row>
      <xdr:rowOff>0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id="{56D1A6A0-939A-4CE7-8FF5-C4B75C044CB6}"/>
            </a:ext>
          </a:extLst>
        </xdr:cNvPr>
        <xdr:cNvCxnSpPr/>
      </xdr:nvCxnSpPr>
      <xdr:spPr>
        <a:xfrm flipV="1">
          <a:off x="7162800" y="202247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0</xdr:colOff>
      <xdr:row>182</xdr:row>
      <xdr:rowOff>0</xdr:rowOff>
    </xdr:to>
    <xdr:cxnSp macro="">
      <xdr:nvCxnSpPr>
        <xdr:cNvPr id="520" name="Straight Connector 519">
          <a:extLst>
            <a:ext uri="{FF2B5EF4-FFF2-40B4-BE49-F238E27FC236}">
              <a16:creationId xmlns:a16="http://schemas.microsoft.com/office/drawing/2014/main" id="{09EE123C-0E22-43FB-849E-0A502FFCD82D}"/>
            </a:ext>
          </a:extLst>
        </xdr:cNvPr>
        <xdr:cNvCxnSpPr/>
      </xdr:nvCxnSpPr>
      <xdr:spPr>
        <a:xfrm flipV="1">
          <a:off x="5727700" y="208343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0</xdr:colOff>
      <xdr:row>170</xdr:row>
      <xdr:rowOff>0</xdr:rowOff>
    </xdr:to>
    <xdr:cxnSp macro="">
      <xdr:nvCxnSpPr>
        <xdr:cNvPr id="521" name="Straight Connector 520">
          <a:extLst>
            <a:ext uri="{FF2B5EF4-FFF2-40B4-BE49-F238E27FC236}">
              <a16:creationId xmlns:a16="http://schemas.microsoft.com/office/drawing/2014/main" id="{2A03BACE-001D-41F4-B508-5691566B4EB1}"/>
            </a:ext>
          </a:extLst>
        </xdr:cNvPr>
        <xdr:cNvCxnSpPr/>
      </xdr:nvCxnSpPr>
      <xdr:spPr>
        <a:xfrm flipV="1">
          <a:off x="5727700" y="18395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171</xdr:row>
      <xdr:rowOff>0</xdr:rowOff>
    </xdr:from>
    <xdr:to>
      <xdr:col>12</xdr:col>
      <xdr:colOff>0</xdr:colOff>
      <xdr:row>173</xdr:row>
      <xdr:rowOff>0</xdr:rowOff>
    </xdr:to>
    <xdr:cxnSp macro="">
      <xdr:nvCxnSpPr>
        <xdr:cNvPr id="522" name="Straight Connector 521">
          <a:extLst>
            <a:ext uri="{FF2B5EF4-FFF2-40B4-BE49-F238E27FC236}">
              <a16:creationId xmlns:a16="http://schemas.microsoft.com/office/drawing/2014/main" id="{193FA759-86ED-4C3D-8365-3735C9E14DFC}"/>
            </a:ext>
          </a:extLst>
        </xdr:cNvPr>
        <xdr:cNvCxnSpPr/>
      </xdr:nvCxnSpPr>
      <xdr:spPr>
        <a:xfrm flipV="1">
          <a:off x="7162800" y="190055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0</xdr:colOff>
      <xdr:row>185</xdr:row>
      <xdr:rowOff>0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id="{9F4BDB65-24FB-49A8-8B9D-652437645C3B}"/>
            </a:ext>
          </a:extLst>
        </xdr:cNvPr>
        <xdr:cNvCxnSpPr/>
      </xdr:nvCxnSpPr>
      <xdr:spPr>
        <a:xfrm flipV="1">
          <a:off x="7162800" y="21443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165</xdr:row>
      <xdr:rowOff>1</xdr:rowOff>
    </xdr:from>
    <xdr:to>
      <xdr:col>12</xdr:col>
      <xdr:colOff>0</xdr:colOff>
      <xdr:row>167</xdr:row>
      <xdr:rowOff>1</xdr:rowOff>
    </xdr:to>
    <xdr:cxnSp macro="">
      <xdr:nvCxnSpPr>
        <xdr:cNvPr id="524" name="Straight Connector 523">
          <a:extLst>
            <a:ext uri="{FF2B5EF4-FFF2-40B4-BE49-F238E27FC236}">
              <a16:creationId xmlns:a16="http://schemas.microsoft.com/office/drawing/2014/main" id="{6D22343E-62FA-4002-BBD1-BAF5A5412383}"/>
            </a:ext>
          </a:extLst>
        </xdr:cNvPr>
        <xdr:cNvCxnSpPr/>
      </xdr:nvCxnSpPr>
      <xdr:spPr>
        <a:xfrm flipV="1">
          <a:off x="7162800" y="17786351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0</xdr:colOff>
      <xdr:row>170</xdr:row>
      <xdr:rowOff>0</xdr:rowOff>
    </xdr:to>
    <xdr:cxnSp macro="">
      <xdr:nvCxnSpPr>
        <xdr:cNvPr id="525" name="Straight Connector 524">
          <a:extLst>
            <a:ext uri="{FF2B5EF4-FFF2-40B4-BE49-F238E27FC236}">
              <a16:creationId xmlns:a16="http://schemas.microsoft.com/office/drawing/2014/main" id="{E8D930D9-8254-419A-9AC9-A8DCE9EDF9AF}"/>
            </a:ext>
          </a:extLst>
        </xdr:cNvPr>
        <xdr:cNvCxnSpPr/>
      </xdr:nvCxnSpPr>
      <xdr:spPr>
        <a:xfrm>
          <a:off x="7162800" y="18395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186</xdr:row>
      <xdr:rowOff>0</xdr:rowOff>
    </xdr:from>
    <xdr:to>
      <xdr:col>12</xdr:col>
      <xdr:colOff>0</xdr:colOff>
      <xdr:row>188</xdr:row>
      <xdr:rowOff>11906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id="{691F8265-3375-4D7C-82DC-E0293B53B417}"/>
            </a:ext>
          </a:extLst>
        </xdr:cNvPr>
        <xdr:cNvCxnSpPr/>
      </xdr:nvCxnSpPr>
      <xdr:spPr>
        <a:xfrm>
          <a:off x="7162801" y="22053550"/>
          <a:ext cx="717549" cy="4183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180</xdr:row>
      <xdr:rowOff>0</xdr:rowOff>
    </xdr:from>
    <xdr:to>
      <xdr:col>12</xdr:col>
      <xdr:colOff>0</xdr:colOff>
      <xdr:row>182</xdr:row>
      <xdr:rowOff>0</xdr:rowOff>
    </xdr:to>
    <xdr:cxnSp macro="">
      <xdr:nvCxnSpPr>
        <xdr:cNvPr id="527" name="Straight Connector 526">
          <a:extLst>
            <a:ext uri="{FF2B5EF4-FFF2-40B4-BE49-F238E27FC236}">
              <a16:creationId xmlns:a16="http://schemas.microsoft.com/office/drawing/2014/main" id="{F7DFB3F2-E8D4-4E21-A3ED-EC2BF9CD4B90}"/>
            </a:ext>
          </a:extLst>
        </xdr:cNvPr>
        <xdr:cNvCxnSpPr/>
      </xdr:nvCxnSpPr>
      <xdr:spPr>
        <a:xfrm>
          <a:off x="7162801" y="208343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174</xdr:row>
      <xdr:rowOff>0</xdr:rowOff>
    </xdr:from>
    <xdr:to>
      <xdr:col>12</xdr:col>
      <xdr:colOff>0</xdr:colOff>
      <xdr:row>176</xdr:row>
      <xdr:rowOff>0</xdr:rowOff>
    </xdr:to>
    <xdr:cxnSp macro="">
      <xdr:nvCxnSpPr>
        <xdr:cNvPr id="528" name="Straight Connector 527">
          <a:extLst>
            <a:ext uri="{FF2B5EF4-FFF2-40B4-BE49-F238E27FC236}">
              <a16:creationId xmlns:a16="http://schemas.microsoft.com/office/drawing/2014/main" id="{62CE59E0-8C79-4C90-8726-031FB1395008}"/>
            </a:ext>
          </a:extLst>
        </xdr:cNvPr>
        <xdr:cNvCxnSpPr/>
      </xdr:nvCxnSpPr>
      <xdr:spPr>
        <a:xfrm>
          <a:off x="7162800" y="196151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162</xdr:row>
      <xdr:rowOff>1</xdr:rowOff>
    </xdr:from>
    <xdr:to>
      <xdr:col>14</xdr:col>
      <xdr:colOff>0</xdr:colOff>
      <xdr:row>164</xdr:row>
      <xdr:rowOff>0</xdr:rowOff>
    </xdr:to>
    <xdr:cxnSp macro="">
      <xdr:nvCxnSpPr>
        <xdr:cNvPr id="529" name="Straight Connector 528">
          <a:extLst>
            <a:ext uri="{FF2B5EF4-FFF2-40B4-BE49-F238E27FC236}">
              <a16:creationId xmlns:a16="http://schemas.microsoft.com/office/drawing/2014/main" id="{FD3152DE-ECB4-46EC-90C1-3FC6FF163981}"/>
            </a:ext>
          </a:extLst>
        </xdr:cNvPr>
        <xdr:cNvCxnSpPr/>
      </xdr:nvCxnSpPr>
      <xdr:spPr>
        <a:xfrm flipV="1">
          <a:off x="8597900" y="171767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0</xdr:colOff>
      <xdr:row>170</xdr:row>
      <xdr:rowOff>0</xdr:rowOff>
    </xdr:to>
    <xdr:cxnSp macro="">
      <xdr:nvCxnSpPr>
        <xdr:cNvPr id="530" name="Straight Connector 529">
          <a:extLst>
            <a:ext uri="{FF2B5EF4-FFF2-40B4-BE49-F238E27FC236}">
              <a16:creationId xmlns:a16="http://schemas.microsoft.com/office/drawing/2014/main" id="{4F259E2A-2062-4A53-9D49-941FAF3C91CC}"/>
            </a:ext>
          </a:extLst>
        </xdr:cNvPr>
        <xdr:cNvCxnSpPr/>
      </xdr:nvCxnSpPr>
      <xdr:spPr>
        <a:xfrm flipV="1">
          <a:off x="8597900" y="18395950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174</xdr:row>
      <xdr:rowOff>1</xdr:rowOff>
    </xdr:from>
    <xdr:to>
      <xdr:col>14</xdr:col>
      <xdr:colOff>0</xdr:colOff>
      <xdr:row>176</xdr:row>
      <xdr:rowOff>0</xdr:rowOff>
    </xdr:to>
    <xdr:cxnSp macro="">
      <xdr:nvCxnSpPr>
        <xdr:cNvPr id="531" name="Straight Connector 530">
          <a:extLst>
            <a:ext uri="{FF2B5EF4-FFF2-40B4-BE49-F238E27FC236}">
              <a16:creationId xmlns:a16="http://schemas.microsoft.com/office/drawing/2014/main" id="{04880E57-7ED8-4EEC-A243-96A5DD0FBFB7}"/>
            </a:ext>
          </a:extLst>
        </xdr:cNvPr>
        <xdr:cNvCxnSpPr/>
      </xdr:nvCxnSpPr>
      <xdr:spPr>
        <a:xfrm flipV="1">
          <a:off x="8597900" y="19615151"/>
          <a:ext cx="717550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180</xdr:row>
      <xdr:rowOff>5953</xdr:rowOff>
    </xdr:from>
    <xdr:to>
      <xdr:col>14</xdr:col>
      <xdr:colOff>0</xdr:colOff>
      <xdr:row>182</xdr:row>
      <xdr:rowOff>5953</xdr:rowOff>
    </xdr:to>
    <xdr:cxnSp macro="">
      <xdr:nvCxnSpPr>
        <xdr:cNvPr id="532" name="Straight Connector 531">
          <a:extLst>
            <a:ext uri="{FF2B5EF4-FFF2-40B4-BE49-F238E27FC236}">
              <a16:creationId xmlns:a16="http://schemas.microsoft.com/office/drawing/2014/main" id="{A941EDA4-F13F-4013-8F47-2F400984FE4E}"/>
            </a:ext>
          </a:extLst>
        </xdr:cNvPr>
        <xdr:cNvCxnSpPr/>
      </xdr:nvCxnSpPr>
      <xdr:spPr>
        <a:xfrm flipV="1">
          <a:off x="8597900" y="208403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185</xdr:row>
      <xdr:rowOff>196453</xdr:rowOff>
    </xdr:from>
    <xdr:to>
      <xdr:col>14</xdr:col>
      <xdr:colOff>0</xdr:colOff>
      <xdr:row>187</xdr:row>
      <xdr:rowOff>196453</xdr:rowOff>
    </xdr:to>
    <xdr:cxnSp macro="">
      <xdr:nvCxnSpPr>
        <xdr:cNvPr id="533" name="Straight Connector 532">
          <a:extLst>
            <a:ext uri="{FF2B5EF4-FFF2-40B4-BE49-F238E27FC236}">
              <a16:creationId xmlns:a16="http://schemas.microsoft.com/office/drawing/2014/main" id="{C2B3B799-C8EE-4856-A80F-02622E364389}"/>
            </a:ext>
          </a:extLst>
        </xdr:cNvPr>
        <xdr:cNvCxnSpPr/>
      </xdr:nvCxnSpPr>
      <xdr:spPr>
        <a:xfrm flipV="1">
          <a:off x="8597900" y="22046803"/>
          <a:ext cx="717550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165</xdr:row>
      <xdr:rowOff>0</xdr:rowOff>
    </xdr:from>
    <xdr:to>
      <xdr:col>14</xdr:col>
      <xdr:colOff>0</xdr:colOff>
      <xdr:row>167</xdr:row>
      <xdr:rowOff>0</xdr:rowOff>
    </xdr:to>
    <xdr:cxnSp macro="">
      <xdr:nvCxnSpPr>
        <xdr:cNvPr id="534" name="Straight Connector 533">
          <a:extLst>
            <a:ext uri="{FF2B5EF4-FFF2-40B4-BE49-F238E27FC236}">
              <a16:creationId xmlns:a16="http://schemas.microsoft.com/office/drawing/2014/main" id="{B8F7A58C-1127-47C2-A84F-09ED8943ECDD}"/>
            </a:ext>
          </a:extLst>
        </xdr:cNvPr>
        <xdr:cNvCxnSpPr/>
      </xdr:nvCxnSpPr>
      <xdr:spPr>
        <a:xfrm>
          <a:off x="8597901" y="177863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171</xdr:row>
      <xdr:rowOff>1</xdr:rowOff>
    </xdr:from>
    <xdr:to>
      <xdr:col>14</xdr:col>
      <xdr:colOff>0</xdr:colOff>
      <xdr:row>173</xdr:row>
      <xdr:rowOff>0</xdr:rowOff>
    </xdr:to>
    <xdr:cxnSp macro="">
      <xdr:nvCxnSpPr>
        <xdr:cNvPr id="535" name="Straight Connector 534">
          <a:extLst>
            <a:ext uri="{FF2B5EF4-FFF2-40B4-BE49-F238E27FC236}">
              <a16:creationId xmlns:a16="http://schemas.microsoft.com/office/drawing/2014/main" id="{2A2A4003-DBD3-465E-B890-73326FCA23E2}"/>
            </a:ext>
          </a:extLst>
        </xdr:cNvPr>
        <xdr:cNvCxnSpPr/>
      </xdr:nvCxnSpPr>
      <xdr:spPr>
        <a:xfrm>
          <a:off x="8597901" y="19005551"/>
          <a:ext cx="717549" cy="4063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177</xdr:row>
      <xdr:rowOff>0</xdr:rowOff>
    </xdr:from>
    <xdr:to>
      <xdr:col>14</xdr:col>
      <xdr:colOff>0</xdr:colOff>
      <xdr:row>179</xdr:row>
      <xdr:rowOff>0</xdr:rowOff>
    </xdr:to>
    <xdr:cxnSp macro="">
      <xdr:nvCxnSpPr>
        <xdr:cNvPr id="536" name="Straight Connector 535">
          <a:extLst>
            <a:ext uri="{FF2B5EF4-FFF2-40B4-BE49-F238E27FC236}">
              <a16:creationId xmlns:a16="http://schemas.microsoft.com/office/drawing/2014/main" id="{8B3A785A-D3E9-4B39-BA4F-2B23FF2AF4EF}"/>
            </a:ext>
          </a:extLst>
        </xdr:cNvPr>
        <xdr:cNvCxnSpPr/>
      </xdr:nvCxnSpPr>
      <xdr:spPr>
        <a:xfrm>
          <a:off x="8597901" y="20224750"/>
          <a:ext cx="717549" cy="4064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183</xdr:row>
      <xdr:rowOff>0</xdr:rowOff>
    </xdr:from>
    <xdr:to>
      <xdr:col>14</xdr:col>
      <xdr:colOff>0</xdr:colOff>
      <xdr:row>184</xdr:row>
      <xdr:rowOff>202405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6C51FFA3-8186-4227-9533-FC9F05FE5306}"/>
            </a:ext>
          </a:extLst>
        </xdr:cNvPr>
        <xdr:cNvCxnSpPr/>
      </xdr:nvCxnSpPr>
      <xdr:spPr>
        <a:xfrm>
          <a:off x="8597901" y="21443950"/>
          <a:ext cx="717549" cy="40560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189</xdr:row>
      <xdr:rowOff>0</xdr:rowOff>
    </xdr:from>
    <xdr:to>
      <xdr:col>14</xdr:col>
      <xdr:colOff>0</xdr:colOff>
      <xdr:row>191</xdr:row>
      <xdr:rowOff>11906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B6057F0C-91FB-416B-8FAD-77DA4CB80439}"/>
            </a:ext>
          </a:extLst>
        </xdr:cNvPr>
        <xdr:cNvCxnSpPr/>
      </xdr:nvCxnSpPr>
      <xdr:spPr>
        <a:xfrm>
          <a:off x="8597901" y="22663150"/>
          <a:ext cx="717549" cy="4056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155</xdr:row>
      <xdr:rowOff>182336</xdr:rowOff>
    </xdr:from>
    <xdr:ext cx="1351717" cy="1986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3AFE0278-05C1-425A-8B51-303BAAD43B69}"/>
                </a:ext>
              </a:extLst>
            </xdr:cNvPr>
            <xdr:cNvSpPr txBox="1"/>
          </xdr:nvSpPr>
          <xdr:spPr>
            <a:xfrm>
              <a:off x="609600" y="9319986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𝐴𝑚𝑒𝑟𝑖𝑐𝑎𝑛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𝑃𝑢𝑡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3AFE0278-05C1-425A-8B51-303BAAD43B69}"/>
                </a:ext>
              </a:extLst>
            </xdr:cNvPr>
            <xdr:cNvSpPr txBox="1"/>
          </xdr:nvSpPr>
          <xdr:spPr>
            <a:xfrm>
              <a:off x="609600" y="9319986"/>
              <a:ext cx="1351717" cy="1986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𝐴𝑚𝑒𝑟𝑖𝑐𝑎𝑛 𝑃𝑢𝑡 𝑉𝑎𝑙𝑢𝑒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23520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09E7922-F631-4A87-B441-C08D181A577D}"/>
                </a:ext>
              </a:extLst>
            </xdr:cNvPr>
            <xdr:cNvSpPr txBox="1"/>
          </xdr:nvSpPr>
          <xdr:spPr>
            <a:xfrm>
              <a:off x="608135" y="190500"/>
              <a:ext cx="22352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𝐼𝑛𝑝𝑢𝑡𝑠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09E7922-F631-4A87-B441-C08D181A577D}"/>
                </a:ext>
              </a:extLst>
            </xdr:cNvPr>
            <xdr:cNvSpPr txBox="1"/>
          </xdr:nvSpPr>
          <xdr:spPr>
            <a:xfrm>
              <a:off x="608135" y="190500"/>
              <a:ext cx="22352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𝐼𝑛𝑝𝑢𝑡𝑠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32</xdr:row>
      <xdr:rowOff>93844</xdr:rowOff>
    </xdr:from>
    <xdr:ext cx="223520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966BB3D-FF5D-4D63-83A6-B2DE1598A4D7}"/>
                </a:ext>
              </a:extLst>
            </xdr:cNvPr>
            <xdr:cNvSpPr txBox="1"/>
          </xdr:nvSpPr>
          <xdr:spPr>
            <a:xfrm>
              <a:off x="608135" y="2951344"/>
              <a:ext cx="22352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𝑀𝑜𝑑𝑒𝑙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𝐶𝑎𝑙𝑐𝑢𝑙𝑎𝑡𝑖𝑜𝑛𝑠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966BB3D-FF5D-4D63-83A6-B2DE1598A4D7}"/>
                </a:ext>
              </a:extLst>
            </xdr:cNvPr>
            <xdr:cNvSpPr txBox="1"/>
          </xdr:nvSpPr>
          <xdr:spPr>
            <a:xfrm>
              <a:off x="608135" y="2951344"/>
              <a:ext cx="22352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𝑀𝑜𝑑𝑒𝑙 𝑎𝑛𝑑 𝐶𝑎𝑙𝑐𝑢𝑙𝑎𝑡𝑖𝑜𝑛𝑠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1</xdr:row>
      <xdr:rowOff>0</xdr:rowOff>
    </xdr:from>
    <xdr:ext cx="3348404" cy="190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93B5D5C-839C-4FB9-8395-E374E0FE609E}"/>
                </a:ext>
              </a:extLst>
            </xdr:cNvPr>
            <xdr:cNvSpPr txBox="1"/>
          </xdr:nvSpPr>
          <xdr:spPr>
            <a:xfrm>
              <a:off x="5121519" y="190500"/>
              <a:ext cx="3348404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𝑂𝑢𝑡𝑝𝑢𝑡𝑠</m:t>
                    </m:r>
                  </m:oMath>
                </m:oMathPara>
              </a14:m>
              <a:endParaRPr lang="en-US" sz="14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93B5D5C-839C-4FB9-8395-E374E0FE609E}"/>
                </a:ext>
              </a:extLst>
            </xdr:cNvPr>
            <xdr:cNvSpPr txBox="1"/>
          </xdr:nvSpPr>
          <xdr:spPr>
            <a:xfrm>
              <a:off x="5121519" y="190500"/>
              <a:ext cx="3348404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𝑂𝑢𝑡𝑝𝑢𝑡𝑠</a:t>
              </a:r>
              <a:endParaRPr lang="en-US" sz="14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65</xdr:row>
      <xdr:rowOff>0</xdr:rowOff>
    </xdr:from>
    <xdr:ext cx="2198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4A4B191-0A9F-4278-9C6B-B178B0F07590}"/>
                </a:ext>
              </a:extLst>
            </xdr:cNvPr>
            <xdr:cNvSpPr txBox="1"/>
          </xdr:nvSpPr>
          <xdr:spPr>
            <a:xfrm>
              <a:off x="608135" y="3355731"/>
              <a:ext cx="2198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𝑆𝑐𝑒𝑛𝑎𝑟𝑖𝑜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𝐴𝑛𝑎𝑙𝑦𝑠𝑖𝑠</m:t>
                    </m:r>
                  </m:oMath>
                </m:oMathPara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4A4B191-0A9F-4278-9C6B-B178B0F07590}"/>
                </a:ext>
              </a:extLst>
            </xdr:cNvPr>
            <xdr:cNvSpPr txBox="1"/>
          </xdr:nvSpPr>
          <xdr:spPr>
            <a:xfrm>
              <a:off x="608135" y="3355731"/>
              <a:ext cx="2198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𝑆𝑐𝑒𝑛𝑎𝑟𝑖𝑜 𝐴𝑛𝑎𝑙𝑦𝑠𝑖𝑠</a:t>
              </a:r>
              <a:endParaRPr lang="en-US" sz="1400" b="0"/>
            </a:p>
          </xdr:txBody>
        </xdr:sp>
      </mc:Fallback>
    </mc:AlternateContent>
    <xdr:clientData/>
  </xdr:oneCellAnchor>
  <xdr:twoCellAnchor>
    <xdr:from>
      <xdr:col>1</xdr:col>
      <xdr:colOff>0</xdr:colOff>
      <xdr:row>16</xdr:row>
      <xdr:rowOff>0</xdr:rowOff>
    </xdr:from>
    <xdr:to>
      <xdr:col>5</xdr:col>
      <xdr:colOff>315057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4AF5F-4D56-9CE8-45A6-8C65731B3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608134</xdr:colOff>
      <xdr:row>85</xdr:row>
      <xdr:rowOff>0</xdr:rowOff>
    </xdr:from>
    <xdr:ext cx="2198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E5610AA-9FDC-45A5-8D1A-A122FF7EAAFE}"/>
                </a:ext>
              </a:extLst>
            </xdr:cNvPr>
            <xdr:cNvSpPr txBox="1"/>
          </xdr:nvSpPr>
          <xdr:spPr>
            <a:xfrm>
              <a:off x="608134" y="3736731"/>
              <a:ext cx="2198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𝑆𝑒𝑛𝑠𝑖𝑡𝑖𝑣𝑖𝑡𝑦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𝐴𝑛𝑎𝑙𝑦𝑠𝑖𝑠</m:t>
                    </m:r>
                  </m:oMath>
                </m:oMathPara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E5610AA-9FDC-45A5-8D1A-A122FF7EAAFE}"/>
                </a:ext>
              </a:extLst>
            </xdr:cNvPr>
            <xdr:cNvSpPr txBox="1"/>
          </xdr:nvSpPr>
          <xdr:spPr>
            <a:xfrm>
              <a:off x="608134" y="3736731"/>
              <a:ext cx="2198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𝑆𝑒𝑛𝑠𝑖𝑡𝑖𝑣𝑖𝑡𝑦 𝐴𝑛𝑎𝑙𝑦𝑠𝑖𝑠</a:t>
              </a:r>
              <a:endParaRPr lang="en-US" sz="1400" b="0"/>
            </a:p>
          </xdr:txBody>
        </xdr:sp>
      </mc:Fallback>
    </mc:AlternateContent>
    <xdr:clientData/>
  </xdr:oneCellAnchor>
  <xdr:twoCellAnchor>
    <xdr:from>
      <xdr:col>5</xdr:col>
      <xdr:colOff>432288</xdr:colOff>
      <xdr:row>16</xdr:row>
      <xdr:rowOff>2199</xdr:rowOff>
    </xdr:from>
    <xdr:to>
      <xdr:col>9</xdr:col>
      <xdr:colOff>512885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66C576-67D4-5E69-7D7E-DE89A28F7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534866</xdr:colOff>
      <xdr:row>16</xdr:row>
      <xdr:rowOff>0</xdr:rowOff>
    </xdr:from>
    <xdr:to>
      <xdr:col>13</xdr:col>
      <xdr:colOff>556847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A5B874-0CCA-7C28-7062-B10DB7BFC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76</xdr:row>
      <xdr:rowOff>158750</xdr:rowOff>
    </xdr:from>
    <xdr:to>
      <xdr:col>12</xdr:col>
      <xdr:colOff>174625</xdr:colOff>
      <xdr:row>99</xdr:row>
      <xdr:rowOff>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0C3FCEE-6A84-A0F3-7501-323454A6AFFC}"/>
            </a:ext>
          </a:extLst>
        </xdr:cNvPr>
        <xdr:cNvGrpSpPr/>
      </xdr:nvGrpSpPr>
      <xdr:grpSpPr>
        <a:xfrm>
          <a:off x="8588375" y="14954250"/>
          <a:ext cx="4135438" cy="4222751"/>
          <a:chOff x="7223123" y="15097125"/>
          <a:chExt cx="3510173" cy="422275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62C753AF-81D8-AAEF-1BFC-D446AE3200B5}"/>
              </a:ext>
            </a:extLst>
          </xdr:cNvPr>
          <xdr:cNvGraphicFramePr/>
        </xdr:nvGraphicFramePr>
        <xdr:xfrm>
          <a:off x="7223124" y="15097125"/>
          <a:ext cx="3510170" cy="22066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D477688-77AD-F43B-9369-0212A7DFD862}"/>
              </a:ext>
            </a:extLst>
          </xdr:cNvPr>
          <xdr:cNvGraphicFramePr/>
        </xdr:nvGraphicFramePr>
        <xdr:xfrm>
          <a:off x="7223123" y="17305339"/>
          <a:ext cx="3510173" cy="20145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0</xdr:colOff>
      <xdr:row>18</xdr:row>
      <xdr:rowOff>142874</xdr:rowOff>
    </xdr:from>
    <xdr:to>
      <xdr:col>6</xdr:col>
      <xdr:colOff>0</xdr:colOff>
      <xdr:row>39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6E1EF-66D1-76E5-7F44-F7E5C4ADA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174625</xdr:rowOff>
    </xdr:from>
    <xdr:to>
      <xdr:col>12</xdr:col>
      <xdr:colOff>936624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986DC6-2223-6EE3-1877-D87624FA8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4</xdr:col>
      <xdr:colOff>0</xdr:colOff>
      <xdr:row>20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C196DFD-1C61-4281-82AB-535A6FCE7D3C}"/>
            </a:ext>
          </a:extLst>
        </xdr:cNvPr>
        <xdr:cNvCxnSpPr/>
      </xdr:nvCxnSpPr>
      <xdr:spPr>
        <a:xfrm flipV="1">
          <a:off x="12773025" y="44862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0</xdr:rowOff>
    </xdr:from>
    <xdr:to>
      <xdr:col>4</xdr:col>
      <xdr:colOff>0</xdr:colOff>
      <xdr:row>23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A797020-2438-48C2-97C4-BB12B6E1FB92}"/>
            </a:ext>
          </a:extLst>
        </xdr:cNvPr>
        <xdr:cNvCxnSpPr/>
      </xdr:nvCxnSpPr>
      <xdr:spPr>
        <a:xfrm>
          <a:off x="127730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20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15F94F1-98AD-41A1-B3B8-DCD6F4954A91}"/>
            </a:ext>
          </a:extLst>
        </xdr:cNvPr>
        <xdr:cNvCxnSpPr/>
      </xdr:nvCxnSpPr>
      <xdr:spPr>
        <a:xfrm>
          <a:off x="13992225" y="44862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0</xdr:colOff>
      <xdr:row>23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CC8C7DD-C9AE-478C-8ADD-2E6750D9CA95}"/>
            </a:ext>
          </a:extLst>
        </xdr:cNvPr>
        <xdr:cNvCxnSpPr/>
      </xdr:nvCxnSpPr>
      <xdr:spPr>
        <a:xfrm flipV="1">
          <a:off x="139922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6</xdr:col>
      <xdr:colOff>0</xdr:colOff>
      <xdr:row>17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F6D372C-3715-4AA7-ADD5-5CB3F87ED2D4}"/>
            </a:ext>
          </a:extLst>
        </xdr:cNvPr>
        <xdr:cNvCxnSpPr/>
      </xdr:nvCxnSpPr>
      <xdr:spPr>
        <a:xfrm flipV="1">
          <a:off x="13992225" y="38862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0</xdr:colOff>
      <xdr:row>26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4ADEBDE-800D-41A9-BFAD-C9CB5619CD3C}"/>
            </a:ext>
          </a:extLst>
        </xdr:cNvPr>
        <xdr:cNvCxnSpPr/>
      </xdr:nvCxnSpPr>
      <xdr:spPr>
        <a:xfrm>
          <a:off x="13992225" y="56864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607218</xdr:colOff>
      <xdr:row>17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4AD24A5-CC2B-451A-9C4F-35068CD410E0}"/>
            </a:ext>
          </a:extLst>
        </xdr:cNvPr>
        <xdr:cNvCxnSpPr/>
      </xdr:nvCxnSpPr>
      <xdr:spPr>
        <a:xfrm>
          <a:off x="15211425" y="3886200"/>
          <a:ext cx="607218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607218</xdr:colOff>
      <xdr:row>23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FDF29D2-38A5-4BC0-B257-A11F805F9189}"/>
            </a:ext>
          </a:extLst>
        </xdr:cNvPr>
        <xdr:cNvCxnSpPr/>
      </xdr:nvCxnSpPr>
      <xdr:spPr>
        <a:xfrm>
          <a:off x="15211425" y="5086350"/>
          <a:ext cx="607218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607218</xdr:colOff>
      <xdr:row>29</xdr:row>
      <xdr:rowOff>11906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C76EAA0-85F7-42F7-9775-584E16F701B4}"/>
            </a:ext>
          </a:extLst>
        </xdr:cNvPr>
        <xdr:cNvCxnSpPr/>
      </xdr:nvCxnSpPr>
      <xdr:spPr>
        <a:xfrm>
          <a:off x="15211425" y="6286500"/>
          <a:ext cx="607218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18</xdr:row>
      <xdr:rowOff>0</xdr:rowOff>
    </xdr:from>
    <xdr:to>
      <xdr:col>8</xdr:col>
      <xdr:colOff>0</xdr:colOff>
      <xdr:row>20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D4E15D5-AFD0-4C6C-B021-6A02C8EE8B6D}"/>
            </a:ext>
          </a:extLst>
        </xdr:cNvPr>
        <xdr:cNvCxnSpPr/>
      </xdr:nvCxnSpPr>
      <xdr:spPr>
        <a:xfrm flipV="1">
          <a:off x="15211426" y="4486275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0</xdr:colOff>
      <xdr:row>23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A74F917-9805-4FA5-AEAD-6A2EA5D97065}"/>
            </a:ext>
          </a:extLst>
        </xdr:cNvPr>
        <xdr:cNvCxnSpPr/>
      </xdr:nvCxnSpPr>
      <xdr:spPr>
        <a:xfrm flipV="1">
          <a:off x="164306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607218</xdr:colOff>
      <xdr:row>26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9E28D78-2F0E-45B0-A54B-15A1D3026DE0}"/>
            </a:ext>
          </a:extLst>
        </xdr:cNvPr>
        <xdr:cNvCxnSpPr/>
      </xdr:nvCxnSpPr>
      <xdr:spPr>
        <a:xfrm flipV="1">
          <a:off x="15211425" y="5686425"/>
          <a:ext cx="607218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607218</xdr:colOff>
      <xdr:row>14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E336618-AE3A-420D-9055-800C87E514FB}"/>
            </a:ext>
          </a:extLst>
        </xdr:cNvPr>
        <xdr:cNvCxnSpPr/>
      </xdr:nvCxnSpPr>
      <xdr:spPr>
        <a:xfrm flipV="1">
          <a:off x="15211425" y="3286125"/>
          <a:ext cx="607218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72A2FAF-FF2E-4BC2-B79F-750757D7A2FE}"/>
            </a:ext>
          </a:extLst>
        </xdr:cNvPr>
        <xdr:cNvCxnSpPr/>
      </xdr:nvCxnSpPr>
      <xdr:spPr>
        <a:xfrm flipV="1">
          <a:off x="16430625" y="38862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0</xdr:rowOff>
    </xdr:from>
    <xdr:to>
      <xdr:col>10</xdr:col>
      <xdr:colOff>0</xdr:colOff>
      <xdr:row>29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EB77929-8EC7-4839-8F8F-0B663EC3E032}"/>
            </a:ext>
          </a:extLst>
        </xdr:cNvPr>
        <xdr:cNvCxnSpPr/>
      </xdr:nvCxnSpPr>
      <xdr:spPr>
        <a:xfrm flipV="1">
          <a:off x="16430625" y="62865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1</xdr:rowOff>
    </xdr:from>
    <xdr:to>
      <xdr:col>10</xdr:col>
      <xdr:colOff>0</xdr:colOff>
      <xdr:row>11</xdr:row>
      <xdr:rowOff>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BF49A84-C34D-4CD5-B142-8F28443068B7}"/>
            </a:ext>
          </a:extLst>
        </xdr:cNvPr>
        <xdr:cNvCxnSpPr/>
      </xdr:nvCxnSpPr>
      <xdr:spPr>
        <a:xfrm flipV="1">
          <a:off x="16430625" y="2686051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0</xdr:rowOff>
    </xdr:from>
    <xdr:to>
      <xdr:col>9</xdr:col>
      <xdr:colOff>607218</xdr:colOff>
      <xdr:row>14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59C3ABE-1B7D-46DA-9A10-97CEA1E2CE07}"/>
            </a:ext>
          </a:extLst>
        </xdr:cNvPr>
        <xdr:cNvCxnSpPr/>
      </xdr:nvCxnSpPr>
      <xdr:spPr>
        <a:xfrm>
          <a:off x="16430625" y="3286125"/>
          <a:ext cx="607218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30</xdr:row>
      <xdr:rowOff>0</xdr:rowOff>
    </xdr:from>
    <xdr:to>
      <xdr:col>10</xdr:col>
      <xdr:colOff>0</xdr:colOff>
      <xdr:row>32</xdr:row>
      <xdr:rowOff>11906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534D0C5-FDD5-4222-B456-FAF4CA86AFC7}"/>
            </a:ext>
          </a:extLst>
        </xdr:cNvPr>
        <xdr:cNvCxnSpPr/>
      </xdr:nvCxnSpPr>
      <xdr:spPr>
        <a:xfrm>
          <a:off x="16430626" y="6886575"/>
          <a:ext cx="609599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24</xdr:row>
      <xdr:rowOff>0</xdr:rowOff>
    </xdr:from>
    <xdr:to>
      <xdr:col>10</xdr:col>
      <xdr:colOff>0</xdr:colOff>
      <xdr:row>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D4AC1EC-853D-4A8D-AFE8-12CEA2023900}"/>
            </a:ext>
          </a:extLst>
        </xdr:cNvPr>
        <xdr:cNvCxnSpPr/>
      </xdr:nvCxnSpPr>
      <xdr:spPr>
        <a:xfrm>
          <a:off x="16430626" y="5686425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0</xdr:rowOff>
    </xdr:from>
    <xdr:to>
      <xdr:col>9</xdr:col>
      <xdr:colOff>607218</xdr:colOff>
      <xdr:row>20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55ABBB5-A359-4EF0-92B5-9C2758CFD06E}"/>
            </a:ext>
          </a:extLst>
        </xdr:cNvPr>
        <xdr:cNvCxnSpPr/>
      </xdr:nvCxnSpPr>
      <xdr:spPr>
        <a:xfrm>
          <a:off x="16430625" y="4486275"/>
          <a:ext cx="607218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</xdr:row>
      <xdr:rowOff>1</xdr:rowOff>
    </xdr:from>
    <xdr:to>
      <xdr:col>12</xdr:col>
      <xdr:colOff>0</xdr:colOff>
      <xdr:row>8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CD0255E-DB51-4E82-968E-DB1FA6191BB6}"/>
            </a:ext>
          </a:extLst>
        </xdr:cNvPr>
        <xdr:cNvCxnSpPr/>
      </xdr:nvCxnSpPr>
      <xdr:spPr>
        <a:xfrm flipV="1">
          <a:off x="17649825" y="2085976"/>
          <a:ext cx="609600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0</xdr:colOff>
      <xdr:row>14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717359E-CEF7-4505-B69D-26471E336D60}"/>
            </a:ext>
          </a:extLst>
        </xdr:cNvPr>
        <xdr:cNvCxnSpPr/>
      </xdr:nvCxnSpPr>
      <xdr:spPr>
        <a:xfrm flipV="1">
          <a:off x="17649825" y="32861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</xdr:row>
      <xdr:rowOff>1</xdr:rowOff>
    </xdr:from>
    <xdr:to>
      <xdr:col>12</xdr:col>
      <xdr:colOff>0</xdr:colOff>
      <xdr:row>20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9F90CCD-0CC0-4EF6-B1FA-B526F2F8AE28}"/>
            </a:ext>
          </a:extLst>
        </xdr:cNvPr>
        <xdr:cNvCxnSpPr/>
      </xdr:nvCxnSpPr>
      <xdr:spPr>
        <a:xfrm flipV="1">
          <a:off x="17649825" y="4486276"/>
          <a:ext cx="609600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</xdr:row>
      <xdr:rowOff>5953</xdr:rowOff>
    </xdr:from>
    <xdr:to>
      <xdr:col>12</xdr:col>
      <xdr:colOff>0</xdr:colOff>
      <xdr:row>26</xdr:row>
      <xdr:rowOff>5953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B8B380D-9180-415D-ADA7-BD43C78C4DF7}"/>
            </a:ext>
          </a:extLst>
        </xdr:cNvPr>
        <xdr:cNvCxnSpPr/>
      </xdr:nvCxnSpPr>
      <xdr:spPr>
        <a:xfrm flipV="1">
          <a:off x="17649825" y="5692378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29</xdr:row>
      <xdr:rowOff>196453</xdr:rowOff>
    </xdr:from>
    <xdr:to>
      <xdr:col>12</xdr:col>
      <xdr:colOff>0</xdr:colOff>
      <xdr:row>31</xdr:row>
      <xdr:rowOff>196453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4507276-FCE3-42DC-8B0D-7DB604CE4003}"/>
            </a:ext>
          </a:extLst>
        </xdr:cNvPr>
        <xdr:cNvCxnSpPr/>
      </xdr:nvCxnSpPr>
      <xdr:spPr>
        <a:xfrm flipV="1">
          <a:off x="17649825" y="6883003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9</xdr:row>
      <xdr:rowOff>0</xdr:rowOff>
    </xdr:from>
    <xdr:to>
      <xdr:col>12</xdr:col>
      <xdr:colOff>0</xdr:colOff>
      <xdr:row>11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D9F8345-00D1-431D-BBEB-058C475FBDB0}"/>
            </a:ext>
          </a:extLst>
        </xdr:cNvPr>
        <xdr:cNvCxnSpPr/>
      </xdr:nvCxnSpPr>
      <xdr:spPr>
        <a:xfrm>
          <a:off x="17649826" y="2686050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15</xdr:row>
      <xdr:rowOff>1</xdr:rowOff>
    </xdr:from>
    <xdr:to>
      <xdr:col>12</xdr:col>
      <xdr:colOff>0</xdr:colOff>
      <xdr:row>17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3A54A00-7A3D-49E1-A404-553670F8D073}"/>
            </a:ext>
          </a:extLst>
        </xdr:cNvPr>
        <xdr:cNvCxnSpPr/>
      </xdr:nvCxnSpPr>
      <xdr:spPr>
        <a:xfrm>
          <a:off x="17649826" y="3886201"/>
          <a:ext cx="609599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21</xdr:row>
      <xdr:rowOff>0</xdr:rowOff>
    </xdr:from>
    <xdr:to>
      <xdr:col>12</xdr:col>
      <xdr:colOff>0</xdr:colOff>
      <xdr:row>23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95F772E-FD7A-4979-A21F-C03D57DB49AD}"/>
            </a:ext>
          </a:extLst>
        </xdr:cNvPr>
        <xdr:cNvCxnSpPr/>
      </xdr:nvCxnSpPr>
      <xdr:spPr>
        <a:xfrm>
          <a:off x="17649826" y="5086350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27</xdr:row>
      <xdr:rowOff>0</xdr:rowOff>
    </xdr:from>
    <xdr:to>
      <xdr:col>12</xdr:col>
      <xdr:colOff>0</xdr:colOff>
      <xdr:row>28</xdr:row>
      <xdr:rowOff>202405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EE22140-9FF0-4B9C-93FE-C73B15848808}"/>
            </a:ext>
          </a:extLst>
        </xdr:cNvPr>
        <xdr:cNvCxnSpPr/>
      </xdr:nvCxnSpPr>
      <xdr:spPr>
        <a:xfrm>
          <a:off x="17649826" y="6286500"/>
          <a:ext cx="609599" cy="4024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33</xdr:row>
      <xdr:rowOff>0</xdr:rowOff>
    </xdr:from>
    <xdr:to>
      <xdr:col>12</xdr:col>
      <xdr:colOff>0</xdr:colOff>
      <xdr:row>35</xdr:row>
      <xdr:rowOff>11906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AC7A530-6F74-459D-8827-7947DA8C291D}"/>
            </a:ext>
          </a:extLst>
        </xdr:cNvPr>
        <xdr:cNvCxnSpPr/>
      </xdr:nvCxnSpPr>
      <xdr:spPr>
        <a:xfrm>
          <a:off x="17649826" y="7486650"/>
          <a:ext cx="609599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20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D51C8089-0AC2-492D-9D46-5B57494BF2E2}"/>
            </a:ext>
          </a:extLst>
        </xdr:cNvPr>
        <xdr:cNvCxnSpPr/>
      </xdr:nvCxnSpPr>
      <xdr:spPr>
        <a:xfrm flipV="1">
          <a:off x="12773025" y="44862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0</xdr:rowOff>
    </xdr:from>
    <xdr:to>
      <xdr:col>4</xdr:col>
      <xdr:colOff>0</xdr:colOff>
      <xdr:row>23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2F3892C-2623-4471-AF3B-244B439C0136}"/>
            </a:ext>
          </a:extLst>
        </xdr:cNvPr>
        <xdr:cNvCxnSpPr/>
      </xdr:nvCxnSpPr>
      <xdr:spPr>
        <a:xfrm>
          <a:off x="127730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20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B1EAC4A-1B54-465F-99CE-7D6303A2AA29}"/>
            </a:ext>
          </a:extLst>
        </xdr:cNvPr>
        <xdr:cNvCxnSpPr/>
      </xdr:nvCxnSpPr>
      <xdr:spPr>
        <a:xfrm>
          <a:off x="13992225" y="44862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0</xdr:colOff>
      <xdr:row>23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BB07517-627B-40D6-B33C-429B67437588}"/>
            </a:ext>
          </a:extLst>
        </xdr:cNvPr>
        <xdr:cNvCxnSpPr/>
      </xdr:nvCxnSpPr>
      <xdr:spPr>
        <a:xfrm flipV="1">
          <a:off x="139922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6</xdr:col>
      <xdr:colOff>0</xdr:colOff>
      <xdr:row>17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A1B585D-3849-46DA-97A0-F784510C9BEE}"/>
            </a:ext>
          </a:extLst>
        </xdr:cNvPr>
        <xdr:cNvCxnSpPr/>
      </xdr:nvCxnSpPr>
      <xdr:spPr>
        <a:xfrm flipV="1">
          <a:off x="13992225" y="38862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0</xdr:colOff>
      <xdr:row>26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200015B-5D84-4B62-973E-B5D43E23EA83}"/>
            </a:ext>
          </a:extLst>
        </xdr:cNvPr>
        <xdr:cNvCxnSpPr/>
      </xdr:nvCxnSpPr>
      <xdr:spPr>
        <a:xfrm>
          <a:off x="13992225" y="56864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197826</xdr:rowOff>
    </xdr:from>
    <xdr:to>
      <xdr:col>8</xdr:col>
      <xdr:colOff>0</xdr:colOff>
      <xdr:row>17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5C21D25-7D48-4A2D-81A3-190840918CA0}"/>
            </a:ext>
          </a:extLst>
        </xdr:cNvPr>
        <xdr:cNvCxnSpPr/>
      </xdr:nvCxnSpPr>
      <xdr:spPr>
        <a:xfrm>
          <a:off x="15211425" y="3884001"/>
          <a:ext cx="609600" cy="4022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201C1EE-618E-4FC6-AD70-10CDBE05542B}"/>
            </a:ext>
          </a:extLst>
        </xdr:cNvPr>
        <xdr:cNvCxnSpPr/>
      </xdr:nvCxnSpPr>
      <xdr:spPr>
        <a:xfrm>
          <a:off x="152114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29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18432C1-E611-4E1F-8890-5E74FDF49572}"/>
            </a:ext>
          </a:extLst>
        </xdr:cNvPr>
        <xdr:cNvCxnSpPr/>
      </xdr:nvCxnSpPr>
      <xdr:spPr>
        <a:xfrm>
          <a:off x="15211425" y="62865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18</xdr:row>
      <xdr:rowOff>0</xdr:rowOff>
    </xdr:from>
    <xdr:to>
      <xdr:col>8</xdr:col>
      <xdr:colOff>0</xdr:colOff>
      <xdr:row>20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AED3BAA-050F-4684-A4AF-FC4D38035A94}"/>
            </a:ext>
          </a:extLst>
        </xdr:cNvPr>
        <xdr:cNvCxnSpPr/>
      </xdr:nvCxnSpPr>
      <xdr:spPr>
        <a:xfrm flipV="1">
          <a:off x="15211426" y="4486275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0</xdr:colOff>
      <xdr:row>23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2DF03B2-EE98-4F23-B2B5-DFF3B73F28E6}"/>
            </a:ext>
          </a:extLst>
        </xdr:cNvPr>
        <xdr:cNvCxnSpPr/>
      </xdr:nvCxnSpPr>
      <xdr:spPr>
        <a:xfrm flipV="1">
          <a:off x="16430625" y="508635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0</xdr:colOff>
      <xdr:row>26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DBEA1C4B-ACB6-4EF9-BE54-F9CE4C0ECC17}"/>
            </a:ext>
          </a:extLst>
        </xdr:cNvPr>
        <xdr:cNvCxnSpPr/>
      </xdr:nvCxnSpPr>
      <xdr:spPr>
        <a:xfrm flipV="1">
          <a:off x="15211425" y="56864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14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BDD30BEC-87E7-49FB-B707-FFB2EAECE8F9}"/>
            </a:ext>
          </a:extLst>
        </xdr:cNvPr>
        <xdr:cNvCxnSpPr/>
      </xdr:nvCxnSpPr>
      <xdr:spPr>
        <a:xfrm flipV="1">
          <a:off x="15211425" y="32861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17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15F82F2-A6DF-4F67-8CB7-3FA07DE9AA34}"/>
            </a:ext>
          </a:extLst>
        </xdr:cNvPr>
        <xdr:cNvCxnSpPr/>
      </xdr:nvCxnSpPr>
      <xdr:spPr>
        <a:xfrm flipV="1">
          <a:off x="16430625" y="38862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0</xdr:rowOff>
    </xdr:from>
    <xdr:to>
      <xdr:col>10</xdr:col>
      <xdr:colOff>0</xdr:colOff>
      <xdr:row>29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75E93EF-0515-48CC-8D34-7007E96D21F5}"/>
            </a:ext>
          </a:extLst>
        </xdr:cNvPr>
        <xdr:cNvCxnSpPr/>
      </xdr:nvCxnSpPr>
      <xdr:spPr>
        <a:xfrm flipV="1">
          <a:off x="16430625" y="6286500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1</xdr:rowOff>
    </xdr:from>
    <xdr:to>
      <xdr:col>10</xdr:col>
      <xdr:colOff>0</xdr:colOff>
      <xdr:row>11</xdr:row>
      <xdr:rowOff>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72561EC-8641-4634-95DF-968EB09F3095}"/>
            </a:ext>
          </a:extLst>
        </xdr:cNvPr>
        <xdr:cNvCxnSpPr/>
      </xdr:nvCxnSpPr>
      <xdr:spPr>
        <a:xfrm flipV="1">
          <a:off x="16430625" y="2686051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0</xdr:rowOff>
    </xdr:from>
    <xdr:to>
      <xdr:col>10</xdr:col>
      <xdr:colOff>0</xdr:colOff>
      <xdr:row>14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7A7B28E-9716-4124-9BEB-D7757C73C6DF}"/>
            </a:ext>
          </a:extLst>
        </xdr:cNvPr>
        <xdr:cNvCxnSpPr/>
      </xdr:nvCxnSpPr>
      <xdr:spPr>
        <a:xfrm>
          <a:off x="16430625" y="32861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30</xdr:row>
      <xdr:rowOff>0</xdr:rowOff>
    </xdr:from>
    <xdr:to>
      <xdr:col>10</xdr:col>
      <xdr:colOff>0</xdr:colOff>
      <xdr:row>32</xdr:row>
      <xdr:rowOff>11906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5D17F78-092B-4ED4-98C0-8215A6597A83}"/>
            </a:ext>
          </a:extLst>
        </xdr:cNvPr>
        <xdr:cNvCxnSpPr/>
      </xdr:nvCxnSpPr>
      <xdr:spPr>
        <a:xfrm>
          <a:off x="16430626" y="6886575"/>
          <a:ext cx="609599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24</xdr:row>
      <xdr:rowOff>0</xdr:rowOff>
    </xdr:from>
    <xdr:to>
      <xdr:col>10</xdr:col>
      <xdr:colOff>0</xdr:colOff>
      <xdr:row>26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1BE8DFB-DBE8-4AF3-A472-8AF5BFC5A99E}"/>
            </a:ext>
          </a:extLst>
        </xdr:cNvPr>
        <xdr:cNvCxnSpPr/>
      </xdr:nvCxnSpPr>
      <xdr:spPr>
        <a:xfrm>
          <a:off x="16430626" y="5686425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0</xdr:rowOff>
    </xdr:from>
    <xdr:to>
      <xdr:col>10</xdr:col>
      <xdr:colOff>0</xdr:colOff>
      <xdr:row>20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28E2EAD-67B2-4382-9745-FD3C33D4AB67}"/>
            </a:ext>
          </a:extLst>
        </xdr:cNvPr>
        <xdr:cNvCxnSpPr/>
      </xdr:nvCxnSpPr>
      <xdr:spPr>
        <a:xfrm>
          <a:off x="16430625" y="448627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</xdr:row>
      <xdr:rowOff>1</xdr:rowOff>
    </xdr:from>
    <xdr:to>
      <xdr:col>12</xdr:col>
      <xdr:colOff>0</xdr:colOff>
      <xdr:row>8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9386C78-9E68-4F3B-99A4-F4B0953E0A1F}"/>
            </a:ext>
          </a:extLst>
        </xdr:cNvPr>
        <xdr:cNvCxnSpPr/>
      </xdr:nvCxnSpPr>
      <xdr:spPr>
        <a:xfrm flipV="1">
          <a:off x="17649825" y="2085976"/>
          <a:ext cx="609600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0</xdr:colOff>
      <xdr:row>14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4E41189-64BF-4486-B017-5BE00D06DC6C}"/>
            </a:ext>
          </a:extLst>
        </xdr:cNvPr>
        <xdr:cNvCxnSpPr/>
      </xdr:nvCxnSpPr>
      <xdr:spPr>
        <a:xfrm flipV="1">
          <a:off x="17649825" y="3286125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</xdr:row>
      <xdr:rowOff>1</xdr:rowOff>
    </xdr:from>
    <xdr:to>
      <xdr:col>12</xdr:col>
      <xdr:colOff>0</xdr:colOff>
      <xdr:row>20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40409EF-571D-449A-B2AE-B4164DE870F1}"/>
            </a:ext>
          </a:extLst>
        </xdr:cNvPr>
        <xdr:cNvCxnSpPr/>
      </xdr:nvCxnSpPr>
      <xdr:spPr>
        <a:xfrm flipV="1">
          <a:off x="17649825" y="4486276"/>
          <a:ext cx="609600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</xdr:row>
      <xdr:rowOff>5953</xdr:rowOff>
    </xdr:from>
    <xdr:to>
      <xdr:col>12</xdr:col>
      <xdr:colOff>0</xdr:colOff>
      <xdr:row>26</xdr:row>
      <xdr:rowOff>5953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D2B3370-682F-417C-8FEB-C02CB8EBCF3C}"/>
            </a:ext>
          </a:extLst>
        </xdr:cNvPr>
        <xdr:cNvCxnSpPr/>
      </xdr:nvCxnSpPr>
      <xdr:spPr>
        <a:xfrm flipV="1">
          <a:off x="17649825" y="5692378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29</xdr:row>
      <xdr:rowOff>196453</xdr:rowOff>
    </xdr:from>
    <xdr:to>
      <xdr:col>12</xdr:col>
      <xdr:colOff>0</xdr:colOff>
      <xdr:row>31</xdr:row>
      <xdr:rowOff>196453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AAB9B21-462A-4136-B783-376D9E648ED6}"/>
            </a:ext>
          </a:extLst>
        </xdr:cNvPr>
        <xdr:cNvCxnSpPr/>
      </xdr:nvCxnSpPr>
      <xdr:spPr>
        <a:xfrm flipV="1">
          <a:off x="17649825" y="6883003"/>
          <a:ext cx="609600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9</xdr:row>
      <xdr:rowOff>0</xdr:rowOff>
    </xdr:from>
    <xdr:to>
      <xdr:col>12</xdr:col>
      <xdr:colOff>0</xdr:colOff>
      <xdr:row>11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119B8E2-4BA6-45E4-926D-C19795B33008}"/>
            </a:ext>
          </a:extLst>
        </xdr:cNvPr>
        <xdr:cNvCxnSpPr/>
      </xdr:nvCxnSpPr>
      <xdr:spPr>
        <a:xfrm>
          <a:off x="17649826" y="2686050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15</xdr:row>
      <xdr:rowOff>1</xdr:rowOff>
    </xdr:from>
    <xdr:to>
      <xdr:col>12</xdr:col>
      <xdr:colOff>0</xdr:colOff>
      <xdr:row>17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7895080-9DB1-4EC6-8028-C60CD921410B}"/>
            </a:ext>
          </a:extLst>
        </xdr:cNvPr>
        <xdr:cNvCxnSpPr/>
      </xdr:nvCxnSpPr>
      <xdr:spPr>
        <a:xfrm>
          <a:off x="17649826" y="3886201"/>
          <a:ext cx="609599" cy="4000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21</xdr:row>
      <xdr:rowOff>0</xdr:rowOff>
    </xdr:from>
    <xdr:to>
      <xdr:col>12</xdr:col>
      <xdr:colOff>0</xdr:colOff>
      <xdr:row>23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5736990-6C8C-46FD-9A9E-656D83C346BB}"/>
            </a:ext>
          </a:extLst>
        </xdr:cNvPr>
        <xdr:cNvCxnSpPr/>
      </xdr:nvCxnSpPr>
      <xdr:spPr>
        <a:xfrm>
          <a:off x="17649826" y="5086350"/>
          <a:ext cx="609599" cy="400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27</xdr:row>
      <xdr:rowOff>0</xdr:rowOff>
    </xdr:from>
    <xdr:to>
      <xdr:col>12</xdr:col>
      <xdr:colOff>0</xdr:colOff>
      <xdr:row>28</xdr:row>
      <xdr:rowOff>202405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02678E3-BCE7-450C-83D2-A8EB16A81370}"/>
            </a:ext>
          </a:extLst>
        </xdr:cNvPr>
        <xdr:cNvCxnSpPr/>
      </xdr:nvCxnSpPr>
      <xdr:spPr>
        <a:xfrm>
          <a:off x="17649826" y="6286500"/>
          <a:ext cx="609599" cy="4024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33</xdr:row>
      <xdr:rowOff>0</xdr:rowOff>
    </xdr:from>
    <xdr:to>
      <xdr:col>12</xdr:col>
      <xdr:colOff>0</xdr:colOff>
      <xdr:row>35</xdr:row>
      <xdr:rowOff>11906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B643CA1-DA54-4A80-AAFA-686BDB892F76}"/>
            </a:ext>
          </a:extLst>
        </xdr:cNvPr>
        <xdr:cNvCxnSpPr/>
      </xdr:nvCxnSpPr>
      <xdr:spPr>
        <a:xfrm>
          <a:off x="17649826" y="7486650"/>
          <a:ext cx="609599" cy="411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44</xdr:row>
      <xdr:rowOff>102577</xdr:rowOff>
    </xdr:from>
    <xdr:ext cx="562442" cy="207282"/>
    <xdr:pic>
      <xdr:nvPicPr>
        <xdr:cNvPr id="62" name="Picture 61">
          <a:extLst>
            <a:ext uri="{FF2B5EF4-FFF2-40B4-BE49-F238E27FC236}">
              <a16:creationId xmlns:a16="http://schemas.microsoft.com/office/drawing/2014/main" id="{AACF9F32-7D27-4EA1-B8F7-158100661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3077"/>
          <a:ext cx="562442" cy="207282"/>
        </a:xfrm>
        <a:prstGeom prst="rect">
          <a:avLst/>
        </a:prstGeom>
      </xdr:spPr>
    </xdr:pic>
    <xdr:clientData/>
  </xdr:oneCellAnchor>
  <xdr:oneCellAnchor>
    <xdr:from>
      <xdr:col>1</xdr:col>
      <xdr:colOff>571500</xdr:colOff>
      <xdr:row>46</xdr:row>
      <xdr:rowOff>13607</xdr:rowOff>
    </xdr:from>
    <xdr:ext cx="962903" cy="323116"/>
    <xdr:pic>
      <xdr:nvPicPr>
        <xdr:cNvPr id="63" name="Picture 62">
          <a:extLst>
            <a:ext uri="{FF2B5EF4-FFF2-40B4-BE49-F238E27FC236}">
              <a16:creationId xmlns:a16="http://schemas.microsoft.com/office/drawing/2014/main" id="{0E3EBC2B-309A-463C-8104-ED3F35962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3821" y="9007928"/>
          <a:ext cx="962903" cy="323116"/>
        </a:xfrm>
        <a:prstGeom prst="rect">
          <a:avLst/>
        </a:prstGeom>
      </xdr:spPr>
    </xdr:pic>
    <xdr:clientData/>
  </xdr:oneCellAnchor>
  <xdr:oneCellAnchor>
    <xdr:from>
      <xdr:col>4</xdr:col>
      <xdr:colOff>138898</xdr:colOff>
      <xdr:row>44</xdr:row>
      <xdr:rowOff>71384</xdr:rowOff>
    </xdr:from>
    <xdr:ext cx="801309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BCCE4890-BEBA-411B-9680-E0847DAED7A9}"/>
                </a:ext>
              </a:extLst>
            </xdr:cNvPr>
            <xdr:cNvSpPr txBox="1"/>
          </xdr:nvSpPr>
          <xdr:spPr>
            <a:xfrm>
              <a:off x="2588184" y="8684705"/>
              <a:ext cx="801309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BCCE4890-BEBA-411B-9680-E0847DAED7A9}"/>
                </a:ext>
              </a:extLst>
            </xdr:cNvPr>
            <xdr:cNvSpPr txBox="1"/>
          </xdr:nvSpPr>
          <xdr:spPr>
            <a:xfrm>
              <a:off x="2588184" y="8684705"/>
              <a:ext cx="801309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𝑆_(𝑢,1)=𝑢∗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153340</xdr:colOff>
      <xdr:row>45</xdr:row>
      <xdr:rowOff>148109</xdr:rowOff>
    </xdr:from>
    <xdr:ext cx="782394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9791053-66FE-4635-B22F-88082CDB291A}"/>
                </a:ext>
              </a:extLst>
            </xdr:cNvPr>
            <xdr:cNvSpPr txBox="1"/>
          </xdr:nvSpPr>
          <xdr:spPr>
            <a:xfrm>
              <a:off x="2602626" y="8951930"/>
              <a:ext cx="782394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9791053-66FE-4635-B22F-88082CDB291A}"/>
                </a:ext>
              </a:extLst>
            </xdr:cNvPr>
            <xdr:cNvSpPr txBox="1"/>
          </xdr:nvSpPr>
          <xdr:spPr>
            <a:xfrm>
              <a:off x="2602626" y="8951930"/>
              <a:ext cx="782394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𝑆_(𝑑,1)=𝑑∗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573593</xdr:colOff>
      <xdr:row>43</xdr:row>
      <xdr:rowOff>185790</xdr:rowOff>
    </xdr:from>
    <xdr:ext cx="2256693" cy="5149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4ACF4747-9B59-483C-B766-3E51B480C97D}"/>
                </a:ext>
              </a:extLst>
            </xdr:cNvPr>
            <xdr:cNvSpPr txBox="1"/>
          </xdr:nvSpPr>
          <xdr:spPr>
            <a:xfrm>
              <a:off x="3635200" y="8608611"/>
              <a:ext cx="2256693" cy="5149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  <m:box>
                              <m:box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ox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den>
                                </m:f>
                              </m:e>
                            </m:box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or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𝑟𝑡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4ACF4747-9B59-483C-B766-3E51B480C97D}"/>
                </a:ext>
              </a:extLst>
            </xdr:cNvPr>
            <xdr:cNvSpPr txBox="1"/>
          </xdr:nvSpPr>
          <xdr:spPr>
            <a:xfrm>
              <a:off x="3635200" y="8608611"/>
              <a:ext cx="2256693" cy="5149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𝑝=(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(𝑒^(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−𝐷)□(64&amp;𝑡/𝑛)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)−𝑑)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(𝑢−𝑑))  or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((1+𝑟𝑡)−𝑑)/((𝑢−𝑑))</a:t>
              </a:r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77457</xdr:colOff>
      <xdr:row>46</xdr:row>
      <xdr:rowOff>119116</xdr:rowOff>
    </xdr:from>
    <xdr:ext cx="68582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D3D4EF3D-E5DC-4224-BE1F-28346387421D}"/>
                </a:ext>
              </a:extLst>
            </xdr:cNvPr>
            <xdr:cNvSpPr txBox="1"/>
          </xdr:nvSpPr>
          <xdr:spPr>
            <a:xfrm>
              <a:off x="3751386" y="9113437"/>
              <a:ext cx="6858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D3D4EF3D-E5DC-4224-BE1F-28346387421D}"/>
                </a:ext>
              </a:extLst>
            </xdr:cNvPr>
            <xdr:cNvSpPr txBox="1"/>
          </xdr:nvSpPr>
          <xdr:spPr>
            <a:xfrm>
              <a:off x="3751386" y="9113437"/>
              <a:ext cx="6858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𝑝_𝑑=1−𝑝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455839</xdr:colOff>
      <xdr:row>45</xdr:row>
      <xdr:rowOff>71163</xdr:rowOff>
    </xdr:from>
    <xdr:ext cx="270676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6857788-BF67-482B-87DF-F309B2049B2A}"/>
                </a:ext>
              </a:extLst>
            </xdr:cNvPr>
            <xdr:cNvSpPr txBox="1"/>
          </xdr:nvSpPr>
          <xdr:spPr>
            <a:xfrm>
              <a:off x="5966732" y="8874984"/>
              <a:ext cx="27067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𝑇𝑒𝑟𝑚𝑖𝑛𝑎𝑙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𝐶𝑎𝑙𝑙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𝑀𝐴𝑋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,0]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6857788-BF67-482B-87DF-F309B2049B2A}"/>
                </a:ext>
              </a:extLst>
            </xdr:cNvPr>
            <xdr:cNvSpPr txBox="1"/>
          </xdr:nvSpPr>
          <xdr:spPr>
            <a:xfrm>
              <a:off x="5966732" y="8874984"/>
              <a:ext cx="270676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𝑇𝑒𝑟𝑚𝑖𝑛𝑎𝑙 𝑉𝑎𝑙𝑢𝑒 𝑜𝑓 𝑎 𝐶𝑎𝑙𝑙=𝑀𝐴𝑋[𝑆−𝑋,0]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496661</xdr:colOff>
      <xdr:row>44</xdr:row>
      <xdr:rowOff>6803</xdr:rowOff>
    </xdr:from>
    <xdr:ext cx="263155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B89E9CD-8205-4862-A23E-2DCD2EFDFAF0}"/>
                </a:ext>
              </a:extLst>
            </xdr:cNvPr>
            <xdr:cNvSpPr txBox="1"/>
          </xdr:nvSpPr>
          <xdr:spPr>
            <a:xfrm>
              <a:off x="6007554" y="8620124"/>
              <a:ext cx="263155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𝑇𝑒𝑟𝑚𝑖𝑛𝑎𝑙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𝑃𝑢𝑡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𝑀𝐴𝑋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,0]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B89E9CD-8205-4862-A23E-2DCD2EFDFAF0}"/>
                </a:ext>
              </a:extLst>
            </xdr:cNvPr>
            <xdr:cNvSpPr txBox="1"/>
          </xdr:nvSpPr>
          <xdr:spPr>
            <a:xfrm>
              <a:off x="6007554" y="8620124"/>
              <a:ext cx="263155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𝑇𝑒𝑟𝑚𝑖𝑛𝑎𝑙 𝑉𝑎𝑙𝑢𝑒 𝑜𝑓 𝑎 𝑃𝑢𝑡=𝑀𝐴𝑋[𝑋−𝑆,0]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383616</xdr:colOff>
      <xdr:row>44</xdr:row>
      <xdr:rowOff>8747</xdr:rowOff>
    </xdr:from>
    <xdr:ext cx="952152" cy="707303"/>
    <xdr:pic>
      <xdr:nvPicPr>
        <xdr:cNvPr id="70" name="Picture 69" descr="Binomial Pricing">
          <a:extLst>
            <a:ext uri="{FF2B5EF4-FFF2-40B4-BE49-F238E27FC236}">
              <a16:creationId xmlns:a16="http://schemas.microsoft.com/office/drawing/2014/main" id="{91151070-D604-4A2D-BA8D-B7F46C1F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6116" y="8622068"/>
          <a:ext cx="952152" cy="707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16</xdr:col>
      <xdr:colOff>272667</xdr:colOff>
      <xdr:row>43</xdr:row>
      <xdr:rowOff>93157</xdr:rowOff>
    </xdr:from>
    <xdr:to>
      <xdr:col>20</xdr:col>
      <xdr:colOff>22719</xdr:colOff>
      <xdr:row>48</xdr:row>
      <xdr:rowOff>177402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6775568-FD55-44B5-A6E1-3BBEB076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69810" y="8515978"/>
          <a:ext cx="2199338" cy="10367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D5EE1912-1E96-3B6E-D8CA-8639C8ADEB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298455</xdr:colOff>
      <xdr:row>49</xdr:row>
      <xdr:rowOff>163285</xdr:rowOff>
    </xdr:from>
    <xdr:to>
      <xdr:col>11</xdr:col>
      <xdr:colOff>293914</xdr:colOff>
      <xdr:row>95</xdr:row>
      <xdr:rowOff>47624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FA7A872-DD6E-52F1-66A9-F566E20D4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0776" y="9729106"/>
          <a:ext cx="6118674" cy="864733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201051F0-3C72-6552-D645-D2775949C05D}"/>
            </a:ext>
          </a:extLst>
        </xdr:cNvPr>
        <xdr:cNvSpPr>
          <a:spLocks noChangeAspect="1" noChangeArrowheads="1"/>
        </xdr:cNvSpPr>
      </xdr:nvSpPr>
      <xdr:spPr bwMode="auto">
        <a:xfrm>
          <a:off x="731520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11</xdr:col>
      <xdr:colOff>218928</xdr:colOff>
      <xdr:row>49</xdr:row>
      <xdr:rowOff>190499</xdr:rowOff>
    </xdr:from>
    <xdr:to>
      <xdr:col>19</xdr:col>
      <xdr:colOff>594404</xdr:colOff>
      <xdr:row>89</xdr:row>
      <xdr:rowOff>21922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976AE65-812F-57B0-AA39-61751707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1991" y="9794874"/>
          <a:ext cx="5264976" cy="745142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  <extLst>
        <x:ext xmlns:xlrvr="http://schemas.microsoft.com/office/spreadsheetml/2020/richvaluerefresh" uri="{6D21E516-79A1-49C6-A8DF-7D825B72F6C7}">
          <xlrvr:refreshIntervals>
            <xlrvr:refreshInterval resourceIdInt="268435456" interval="-1"/>
          </xlrvr:refreshIntervals>
        </x:ext>
      </extLst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2">
  <rv s="0">
    <v>https://www.bing.com/financeapi/forcetrigger?t=a23hqh&amp;q=ARCX%3aSPY&amp;form=skydnc</v>
    <v>Learn more on Bing</v>
  </rv>
  <rv s="1">
    <v>en-US</v>
    <v>a23hqh</v>
    <v>268435456</v>
    <v>1</v>
    <v>Powered by Refinitiv</v>
    <v>0</v>
    <v>State Street SPDR S&amp;P500 (ARCX:SPY)</v>
    <v>2</v>
    <v>3</v>
    <v>Finance</v>
    <v>4</v>
    <v>776.85</v>
    <v>629.11</v>
    <v>0.99880000000000002</v>
    <v>4.7</v>
    <v>1.7780000000000001E-4</v>
    <v>6.1150000000000006E-3</v>
    <v>0.13750000000000001</v>
    <v>USD</v>
    <v>NYSE Arca</v>
    <v>ARCX</v>
    <v>9.4499999999999998E-4</v>
    <v>773.91499999999996</v>
    <v>ETF</v>
    <v>46241.999968529686</v>
    <v>0</v>
    <v>769.61</v>
    <v>795000000000</v>
    <v>State Street SPDR S&amp;P500</v>
    <v>771.02</v>
    <v>768.56</v>
    <v>773.26</v>
    <v>773.39750000000004</v>
    <v>SPY</v>
    <v>State Street SPDR S&amp;P500 (ARCX:SPY)</v>
    <v>43586333</v>
    <v>46903431</v>
  </rv>
  <rv s="2">
    <v>1</v>
  </rv>
  <rv s="3">
    <v>0</v>
    <v>5</v>
  </rv>
  <rv s="3">
    <v>1</v>
    <v>5</v>
  </rv>
  <rv s="3">
    <v>2</v>
    <v>5</v>
  </rv>
  <rv s="3">
    <v>3</v>
    <v>5</v>
  </rv>
  <rv s="3">
    <v>4</v>
    <v>5</v>
  </rv>
  <rv s="3">
    <v>5</v>
    <v>5</v>
  </rv>
  <rv s="3">
    <v>6</v>
    <v>5</v>
  </rv>
  <rv s="3">
    <v>7</v>
    <v>5</v>
  </rv>
  <rv s="3">
    <v>8</v>
    <v>5</v>
  </rv>
  <rv s="3">
    <v>9</v>
    <v>5</v>
  </rv>
  <rv s="3">
    <v>10</v>
    <v>5</v>
  </rv>
  <rv s="3">
    <v>11</v>
    <v>5</v>
  </rv>
  <rv s="3">
    <v>12</v>
    <v>5</v>
  </rv>
  <rv s="3">
    <v>13</v>
    <v>5</v>
  </rv>
  <rv s="3">
    <v>14</v>
    <v>5</v>
  </rv>
  <rv s="3">
    <v>15</v>
    <v>5</v>
  </rv>
  <rv s="3">
    <v>16</v>
    <v>5</v>
  </rv>
  <rv s="3">
    <v>17</v>
    <v>5</v>
  </rv>
  <rv s="3">
    <v>18</v>
    <v>5</v>
  </rv>
  <rv s="3">
    <v>19</v>
    <v>5</v>
  </rv>
  <rv s="3">
    <v>20</v>
    <v>5</v>
  </rv>
  <rv s="3">
    <v>21</v>
    <v>5</v>
  </rv>
  <rv s="3">
    <v>22</v>
    <v>5</v>
  </rv>
  <rv s="3">
    <v>23</v>
    <v>5</v>
  </rv>
  <rv s="3">
    <v>24</v>
    <v>5</v>
  </rv>
  <rv s="3">
    <v>25</v>
    <v>5</v>
  </rv>
  <rv s="3">
    <v>26</v>
    <v>5</v>
  </rv>
  <rv s="3">
    <v>27</v>
    <v>5</v>
  </rv>
  <rv s="3">
    <v>28</v>
    <v>5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% (Extended hours)"/>
    <k n="Change (%)"/>
    <k n="Change (Extended hours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Price (Extended hours)"/>
    <k n="Ticker symbol" t="s"/>
    <k n="UniqueName" t="s"/>
    <k n="Volume"/>
    <k n="Volume average"/>
  </s>
  <s t="_linkedentity">
    <k n="%cvi" t="r"/>
  </s>
  <s t="_localImage">
    <k n="_rvRel:LocalImageIdentifier" t="i"/>
    <k n="CalcOrigin" t="i"/>
  </s>
</rvStructures>
</file>

<file path=xl/richData/rdsupportingpropertybag.xml><?xml version="1.0" encoding="utf-8"?>
<supportingPropertyBags xmlns="http://schemas.microsoft.com/office/spreadsheetml/2017/richdata2">
  <spbArrays count="1">
    <a count="37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Price (Extended hours)</v>
      <v t="s">Exchange</v>
      <v t="s">Last trade time</v>
      <v t="s">Ticker symbol</v>
      <v t="s">Exchange abbreviation</v>
      <v t="s">Change</v>
      <v t="s">Change (Extended hours)</v>
      <v t="s">Expense ratio</v>
      <v t="s">Change (%)</v>
      <v t="s">Change % (Extended hours)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</spbArrays>
  <spbData count="5">
    <spb s="0">
      <v>0</v>
      <v>Name</v>
      <v>LearnMoreOnLink</v>
    </spb>
    <spb s="1">
      <v>0</v>
      <v>0</v>
      <v>0</v>
    </spb>
    <spb s="2">
      <v>1</v>
      <v>1</v>
      <v>1</v>
    </spb>
    <spb s="3">
      <v>1</v>
      <v>2</v>
      <v>1</v>
      <v>3</v>
      <v>1</v>
      <v>1</v>
      <v>1</v>
      <v>4</v>
      <v>5</v>
      <v>6</v>
      <v>1</v>
      <v>1</v>
      <v>5</v>
      <v>1</v>
      <v>4</v>
      <v>7</v>
      <v>8</v>
      <v>1</v>
      <v>1</v>
      <v>5</v>
    </spb>
    <spb s="4">
      <v>at close</v>
      <v>from previous close</v>
      <v>Source: Nasdaq</v>
      <v>from previous close</v>
      <v>GMT</v>
      <v>Delayed 15 minutes</v>
      <v>from close</v>
      <v>from close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  <k n="Price (Extended hours)" t="i"/>
    <k n="Change (Extended hours)" t="i"/>
    <k n="Change % (Extended hours)" t="i"/>
  </s>
  <s>
    <k n="Price" t="s"/>
    <k n="Change" t="s"/>
    <k n="Exchange" t="s"/>
    <k n="Change (%)" t="s"/>
    <k n="Last trade time" t="s"/>
    <k n="Price (Extended hours)" t="s"/>
    <k n="Change (Extended hours)" t="s"/>
    <k n="Change % (Extended hours)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  <x:dxf>
      <x:numFmt numFmtId="3" formatCode="#,##0"/>
    </x:dxf>
    <x:dxf>
      <x:numFmt numFmtId="4" formatCode="#,##0.00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 dxfid="5">
      <rpv i="0">#,##0.00</rpv>
    </rSty>
    <rSty>
      <rpv i="1">1</rpv>
    </rSty>
    <rSty dxfid="4">
      <rpv i="0">#,##0</rpv>
    </rSty>
    <rSty dxfid="3"/>
    <rSty dxfid="1">
      <rpv i="0">_([$$-en-US]* #,##0_);_([$$-en-US]* (#,##0);_([$$-en-US]* "-"_);_(@_)</rpv>
    </rSty>
    <rSty dxfid="2"/>
    <rSty dxfid="0">
      <rpv i="0">0.00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51AE48-2B61-40B3-8FC5-57BE35983C41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BACE-47F2-47CE-9CDF-7BD100C1F9CC}">
  <dimension ref="A2:R194"/>
  <sheetViews>
    <sheetView showGridLines="0" zoomScale="130" zoomScaleNormal="130" workbookViewId="0">
      <selection activeCell="F4" sqref="F4"/>
    </sheetView>
  </sheetViews>
  <sheetFormatPr defaultRowHeight="15" outlineLevelRow="1"/>
  <cols>
    <col min="2" max="2" width="4.7109375" customWidth="1"/>
    <col min="3" max="3" width="12.140625" customWidth="1"/>
    <col min="4" max="4" width="6" customWidth="1"/>
    <col min="5" max="15" width="10.7109375" customWidth="1"/>
  </cols>
  <sheetData>
    <row r="2" spans="2:16" ht="12" customHeight="1"/>
    <row r="3" spans="2:16" ht="13.5" customHeight="1">
      <c r="B3" s="29" cm="1">
        <f t="array" aca="1" ref="B3" ca="1">_FV(B4,"Price")</f>
        <v>773.26</v>
      </c>
    </row>
    <row r="4" spans="2:16">
      <c r="B4" s="30" t="e" vm="1">
        <v>#VALUE!</v>
      </c>
    </row>
    <row r="5" spans="2:16">
      <c r="B5" s="17" t="e" vm="2">
        <v>#VALUE!</v>
      </c>
      <c r="C5" s="115">
        <v>4.1099999999999998E-2</v>
      </c>
      <c r="D5" s="18" t="e" vm="3">
        <v>#VALUE!</v>
      </c>
      <c r="E5" s="113">
        <v>740</v>
      </c>
      <c r="G5" s="35"/>
      <c r="H5" s="33" t="s">
        <v>3</v>
      </c>
      <c r="I5" s="33" t="s">
        <v>4</v>
      </c>
      <c r="J5" s="33" t="s">
        <v>5</v>
      </c>
      <c r="K5" s="33" t="s">
        <v>6</v>
      </c>
    </row>
    <row r="6" spans="2:16">
      <c r="B6" s="19" t="e" vm="4">
        <v>#VALUE!</v>
      </c>
      <c r="C6" s="113">
        <v>750</v>
      </c>
      <c r="D6" s="17" t="e" vm="5">
        <v>#VALUE!</v>
      </c>
      <c r="E6" s="20">
        <f ca="1">EXP($C$7*SQRT($E$11))</f>
        <v>1.0315351180143828</v>
      </c>
      <c r="F6" s="8"/>
      <c r="G6" s="31" t="s">
        <v>0</v>
      </c>
      <c r="H6" s="36">
        <f ca="1">E139</f>
        <v>18.691283719275102</v>
      </c>
      <c r="I6" s="39">
        <f ca="1">E138</f>
        <v>0.46411925622355288</v>
      </c>
      <c r="J6" s="40">
        <f ca="1">E140</f>
        <v>8.3180530835092609E-3</v>
      </c>
      <c r="K6" s="37">
        <f ca="1">E144</f>
        <v>-0.16923696785011233</v>
      </c>
      <c r="L6" s="8"/>
      <c r="M6" s="8"/>
      <c r="N6" s="8"/>
      <c r="O6" s="10">
        <v>5</v>
      </c>
      <c r="P6" s="8"/>
    </row>
    <row r="7" spans="2:16" ht="15.75" thickBot="1">
      <c r="B7" s="17" t="e" vm="6">
        <v>#VALUE!</v>
      </c>
      <c r="C7" s="115">
        <v>0.15110000000000001</v>
      </c>
      <c r="D7" s="17" t="e" vm="7">
        <v>#VALUE!</v>
      </c>
      <c r="E7" s="20">
        <f ca="1">EXP(-$C$7*SQRT($E$11))</f>
        <v>0.96942894384915834</v>
      </c>
      <c r="F7" s="8"/>
      <c r="G7" s="32" t="s">
        <v>7</v>
      </c>
      <c r="H7" s="36">
        <f ca="1">E177</f>
        <v>24.211690026083911</v>
      </c>
      <c r="I7" s="39">
        <f ca="1">E176</f>
        <v>-0.54729719517535524</v>
      </c>
      <c r="J7" s="40">
        <f ca="1">E178</f>
        <v>8.6947572976549137E-3</v>
      </c>
      <c r="K7" s="37">
        <f ca="1">E182</f>
        <v>-0.11158319507039662</v>
      </c>
      <c r="L7" s="8"/>
      <c r="M7" s="8"/>
      <c r="N7" s="9"/>
      <c r="O7" s="8"/>
      <c r="P7" s="8"/>
    </row>
    <row r="8" spans="2:16" ht="15.75" thickBot="1">
      <c r="B8" s="17" t="e" vm="8">
        <v>#VALUE!</v>
      </c>
      <c r="C8" s="115">
        <v>1.0200000000000001E-2</v>
      </c>
      <c r="D8" s="17" t="e" vm="9">
        <v>#VALUE!</v>
      </c>
      <c r="E8" s="21">
        <f ca="1">(EXP(($C$5-$C$8)*$E$11)-$E$7)/($E$6-$E$7)</f>
        <v>0.51325934488422809</v>
      </c>
      <c r="F8" s="8"/>
      <c r="G8" s="34"/>
      <c r="H8" s="33" t="s">
        <v>3</v>
      </c>
      <c r="I8" s="38" t="s">
        <v>4</v>
      </c>
      <c r="J8" s="38" t="s">
        <v>5</v>
      </c>
      <c r="K8" s="33" t="s">
        <v>6</v>
      </c>
      <c r="L8" s="8"/>
      <c r="M8" s="8"/>
      <c r="N8" s="9">
        <v>0</v>
      </c>
      <c r="O8" s="14">
        <f ca="1">COMBIN(O6,O6-N8)*$E$8^(O6-N8)*($E$9^(O6-(O6-N8)))</f>
        <v>3.561921356377263E-2</v>
      </c>
      <c r="P8" s="8"/>
    </row>
    <row r="9" spans="2:16" ht="15.75" thickBot="1">
      <c r="B9" s="17" t="e" vm="10">
        <v>#VALUE!</v>
      </c>
      <c r="C9" s="113">
        <v>5</v>
      </c>
      <c r="D9" s="17" t="e" vm="11">
        <v>#VALUE!</v>
      </c>
      <c r="E9" s="21">
        <f ca="1">1-E8</f>
        <v>0.48674065511577191</v>
      </c>
      <c r="F9" s="8"/>
      <c r="G9" s="31" t="s">
        <v>0</v>
      </c>
      <c r="H9" s="36">
        <f ca="1">E63</f>
        <v>18.691283719275102</v>
      </c>
      <c r="I9" s="39">
        <f ca="1">E62</f>
        <v>0.46411925622355288</v>
      </c>
      <c r="J9" s="40">
        <f ca="1">E64</f>
        <v>8.3180530835092609E-3</v>
      </c>
      <c r="K9" s="37">
        <f ca="1">E68</f>
        <v>-0.16923696785011233</v>
      </c>
      <c r="L9" s="8"/>
      <c r="M9" s="10">
        <v>4</v>
      </c>
      <c r="N9" s="9"/>
      <c r="O9" s="15">
        <f ca="1">$E$5*($E$6^(O6-N8)*$E$7^N8)</f>
        <v>864.27471793623511</v>
      </c>
      <c r="P9" s="8"/>
    </row>
    <row r="10" spans="2:16" ht="15.75" thickBot="1">
      <c r="B10" s="17" t="e" vm="12">
        <v>#VALUE!</v>
      </c>
      <c r="C10" s="114">
        <v>46319</v>
      </c>
      <c r="D10" s="17" t="e" vm="13">
        <v>#VALUE!</v>
      </c>
      <c r="E10" s="16">
        <f ca="1">YEARFRAC(TODAY(),C10)</f>
        <v>0.21111111111111111</v>
      </c>
      <c r="F10" s="8"/>
      <c r="G10" s="32" t="s">
        <v>7</v>
      </c>
      <c r="H10" s="36">
        <f ca="1">E101</f>
        <v>23.803686212892391</v>
      </c>
      <c r="I10" s="39">
        <f ca="1">E100</f>
        <v>-0.53415956004834375</v>
      </c>
      <c r="J10" s="40">
        <f ca="1">E102</f>
        <v>8.3180530835092956E-3</v>
      </c>
      <c r="K10" s="37">
        <f ca="1">E106</f>
        <v>-0.10601291054240779</v>
      </c>
      <c r="L10" s="8"/>
      <c r="M10" s="8"/>
      <c r="N10" s="9"/>
      <c r="O10" s="13">
        <f ca="1">1-O8</f>
        <v>0.96438078643622738</v>
      </c>
      <c r="P10" s="8"/>
    </row>
    <row r="11" spans="2:16" ht="15.75" thickBot="1">
      <c r="B11" s="17" t="e" vm="14">
        <v>#VALUE!</v>
      </c>
      <c r="C11" s="16">
        <f ca="1">EXP(E11*C5)</f>
        <v>1.0017368398955588</v>
      </c>
      <c r="D11" s="17" t="e" vm="15">
        <v>#VALUE!</v>
      </c>
      <c r="E11" s="16">
        <f ca="1">E10/C9</f>
        <v>4.2222222222222223E-2</v>
      </c>
      <c r="F11" s="8"/>
      <c r="G11" s="8"/>
      <c r="H11" s="8"/>
      <c r="I11" s="8"/>
      <c r="J11" s="8"/>
      <c r="K11" s="8"/>
      <c r="L11" s="9">
        <v>0</v>
      </c>
      <c r="M11" s="14">
        <f ca="1">COMBIN(M9,M9-L11)*$E$8^(M9-L11)*($E$9^(M9-(M9-L11)))</f>
        <v>6.9398080948349761E-2</v>
      </c>
      <c r="N11" s="9"/>
      <c r="O11" s="8"/>
      <c r="P11" s="8"/>
    </row>
    <row r="12" spans="2:16" ht="15.75" thickBot="1">
      <c r="F12" s="8"/>
      <c r="G12" s="8"/>
      <c r="H12" s="8"/>
      <c r="I12" s="8"/>
      <c r="J12" s="8"/>
      <c r="K12" s="10">
        <v>3</v>
      </c>
      <c r="L12" s="9"/>
      <c r="M12" s="15">
        <f ca="1">$E$5*($E$6^(M9-L11)*$E$7^L11)</f>
        <v>837.85292700445348</v>
      </c>
      <c r="N12" s="9"/>
      <c r="O12" s="8"/>
      <c r="P12" s="8"/>
    </row>
    <row r="13" spans="2:16" ht="15.75" thickBot="1">
      <c r="E13" s="8"/>
      <c r="F13" s="8"/>
      <c r="G13" s="8"/>
      <c r="H13" s="8"/>
      <c r="I13" s="8"/>
      <c r="J13" s="9"/>
      <c r="K13" s="8"/>
      <c r="L13" s="9"/>
      <c r="M13" s="13">
        <f ca="1">1-M11</f>
        <v>0.93060191905165024</v>
      </c>
      <c r="N13" s="9"/>
      <c r="O13" s="8"/>
      <c r="P13" s="8"/>
    </row>
    <row r="14" spans="2:16" ht="15.75" thickBot="1">
      <c r="E14" s="8"/>
      <c r="F14" s="8"/>
      <c r="G14" s="8"/>
      <c r="H14" s="8"/>
      <c r="I14" s="8"/>
      <c r="J14" s="9">
        <v>0</v>
      </c>
      <c r="K14" s="14">
        <f ca="1">COMBIN(K12,K12-J14)*$E$8^(K12-J14)*($E$9^(K12-(K12-J14)))</f>
        <v>0.13521055513174018</v>
      </c>
      <c r="L14" s="9"/>
      <c r="M14" s="8"/>
      <c r="N14" s="9">
        <v>1</v>
      </c>
      <c r="O14" s="14">
        <f ca="1">COMBIN(O6,O6-N14)*$E$8^(O6-N14)*($E$9^(O6-(O6-N14)))</f>
        <v>0.16889433692288566</v>
      </c>
      <c r="P14" s="8"/>
    </row>
    <row r="15" spans="2:16" ht="15.75" thickBot="1">
      <c r="E15" s="8"/>
      <c r="F15" s="8"/>
      <c r="G15" s="8"/>
      <c r="H15" s="9"/>
      <c r="I15" s="10">
        <v>2</v>
      </c>
      <c r="J15" s="9"/>
      <c r="K15" s="15">
        <f ca="1">$E$5*($E$6^(K12-J14)*$E$7^J14)</f>
        <v>812.23887812685325</v>
      </c>
      <c r="L15" s="9"/>
      <c r="M15" s="8"/>
      <c r="N15" s="9"/>
      <c r="O15" s="15">
        <f ca="1">$E$5*($E$6^(O6-N14)*$E$7^N14)</f>
        <v>812.23887812685336</v>
      </c>
      <c r="P15" s="8"/>
    </row>
    <row r="16" spans="2:16" ht="15.75" thickBot="1">
      <c r="E16" s="8"/>
      <c r="F16" s="8"/>
      <c r="G16" s="8"/>
      <c r="H16" s="9"/>
      <c r="I16" s="8"/>
      <c r="J16" s="9"/>
      <c r="K16" s="13">
        <f ca="1">1-K14</f>
        <v>0.86478944486825982</v>
      </c>
      <c r="L16" s="9"/>
      <c r="M16" s="8"/>
      <c r="N16" s="9"/>
      <c r="O16" s="13">
        <f ca="1">1-O14</f>
        <v>0.83110566307711431</v>
      </c>
      <c r="P16" s="8"/>
    </row>
    <row r="17" spans="5:16" ht="15.75" thickBot="1">
      <c r="E17" s="8"/>
      <c r="F17" s="8"/>
      <c r="G17" s="8"/>
      <c r="H17" s="9">
        <v>0</v>
      </c>
      <c r="I17" s="14">
        <f ca="1">COMBIN(I15,I15-H17)*$E$8^(I15-H17)*($E$9^(I15-(I15-H17)))</f>
        <v>0.26343515511098697</v>
      </c>
      <c r="J17" s="9"/>
      <c r="K17" s="8"/>
      <c r="L17" s="9">
        <v>1</v>
      </c>
      <c r="M17" s="14">
        <f ca="1">COMBIN(M9,M9-L17)*$E$8^(M9-L17)*($E$9^(M9-(M9-L17)))</f>
        <v>0.26324989673356164</v>
      </c>
      <c r="N17" s="9"/>
      <c r="O17" s="8"/>
      <c r="P17" s="8"/>
    </row>
    <row r="18" spans="5:16" ht="15.75" thickBot="1">
      <c r="E18" s="8"/>
      <c r="F18" s="9"/>
      <c r="G18" s="10">
        <v>1</v>
      </c>
      <c r="H18" s="9"/>
      <c r="I18" s="15">
        <f ca="1">$E$5*($E$6^(I15-H17)*$E$7^H17)</f>
        <v>787.40787777574053</v>
      </c>
      <c r="J18" s="9"/>
      <c r="K18" s="8"/>
      <c r="L18" s="9"/>
      <c r="M18" s="15">
        <f ca="1">$E$5*($E$6^(M9-L17)*$E$7^L17)</f>
        <v>787.40787777574053</v>
      </c>
      <c r="N18" s="9"/>
      <c r="O18" s="8"/>
      <c r="P18" s="8"/>
    </row>
    <row r="19" spans="5:16" ht="15.75" thickBot="1">
      <c r="E19" s="8"/>
      <c r="F19" s="8"/>
      <c r="G19" s="8"/>
      <c r="H19" s="9"/>
      <c r="I19" s="13">
        <f ca="1">1-I17</f>
        <v>0.73656484488901297</v>
      </c>
      <c r="J19" s="9"/>
      <c r="K19" s="8"/>
      <c r="L19" s="9"/>
      <c r="M19" s="13">
        <f ca="1">1-M17</f>
        <v>0.73675010326643831</v>
      </c>
      <c r="N19" s="9"/>
      <c r="O19" s="8"/>
      <c r="P19" s="8"/>
    </row>
    <row r="20" spans="5:16" ht="15.75" thickBot="1">
      <c r="E20" s="9"/>
      <c r="F20" s="9">
        <v>0</v>
      </c>
      <c r="G20" s="14">
        <f ca="1">COMBIN(G18,G18-F20)*$E$8^(G18-F20)*($E$9^(G18-(G18-F20)))</f>
        <v>0.51325934488422809</v>
      </c>
      <c r="H20" s="11"/>
      <c r="I20" s="8"/>
      <c r="J20" s="9">
        <v>1</v>
      </c>
      <c r="K20" s="14">
        <f ca="1">COMBIN(K12,K12-J20)*$E$8^(K12-J20)*($E$9^(K12-(K12-J20)))</f>
        <v>0.38467379993774037</v>
      </c>
      <c r="L20" s="9"/>
      <c r="M20" s="8"/>
      <c r="N20" s="9">
        <v>2</v>
      </c>
      <c r="O20" s="14">
        <f ca="1">COMBIN(O6,O6-N20)*$E$8^(O6-N20)*($E$9^(O6-(O6-N20)))</f>
        <v>0.3203360679881328</v>
      </c>
      <c r="P20" s="8"/>
    </row>
    <row r="21" spans="5:16" ht="15.75" thickBot="1">
      <c r="E21" s="10">
        <v>0</v>
      </c>
      <c r="F21" s="9"/>
      <c r="G21" s="15">
        <f ca="1">$E$5*($E$6^(G18-F20)*$E$7^F20)</f>
        <v>763.33598733064332</v>
      </c>
      <c r="H21" s="9"/>
      <c r="I21" s="8"/>
      <c r="J21" s="9"/>
      <c r="K21" s="15">
        <f ca="1">$E$5*($E$6^(K12-J20)*$E$7^J20)</f>
        <v>763.33598733064332</v>
      </c>
      <c r="L21" s="9"/>
      <c r="M21" s="8"/>
      <c r="N21" s="9"/>
      <c r="O21" s="15">
        <f ca="1">$E$5*($E$6^(O6-N20)*$E$7^N20)</f>
        <v>763.33598733064332</v>
      </c>
      <c r="P21" s="8"/>
    </row>
    <row r="22" spans="5:16" ht="15.75" thickBot="1">
      <c r="E22" s="8"/>
      <c r="F22" s="8"/>
      <c r="G22" s="13">
        <f ca="1">1-G20</f>
        <v>0.48674065511577191</v>
      </c>
      <c r="H22" s="9"/>
      <c r="I22" s="8"/>
      <c r="J22" s="9"/>
      <c r="K22" s="13">
        <f ca="1">1-K20</f>
        <v>0.61532620006225969</v>
      </c>
      <c r="L22" s="9"/>
      <c r="M22" s="8"/>
      <c r="N22" s="9"/>
      <c r="O22" s="13">
        <f ca="1">1-O20</f>
        <v>0.67966393201186714</v>
      </c>
      <c r="P22" s="8"/>
    </row>
    <row r="23" spans="5:16" ht="15.75" thickBot="1">
      <c r="F23" s="8"/>
      <c r="G23" s="8"/>
      <c r="H23" s="9">
        <v>1</v>
      </c>
      <c r="I23" s="14">
        <f ca="1">COMBIN(I15,I15-H23)*$E$8^(I15-H23)*($E$9^(I15-(I15-H23)))</f>
        <v>0.49964837954648217</v>
      </c>
      <c r="J23" s="9"/>
      <c r="K23" s="8"/>
      <c r="L23" s="9">
        <v>2</v>
      </c>
      <c r="M23" s="14">
        <f ca="1">COMBIN(M9,M9-L23)*$E$8^(M9-L23)*($E$9^(M9-(M9-L23)))</f>
        <v>0.37447275477513825</v>
      </c>
      <c r="N23" s="9"/>
      <c r="O23" s="8"/>
      <c r="P23" s="8"/>
    </row>
    <row r="24" spans="5:16" ht="15.75" thickBot="1">
      <c r="E24" s="15">
        <f ca="1">$E$5*($E$6^(E21-D23)*$E$7^D23)</f>
        <v>740</v>
      </c>
      <c r="F24" s="8"/>
      <c r="G24" s="8"/>
      <c r="H24" s="9"/>
      <c r="I24" s="15">
        <f ca="1">$E$5*($E$6^(I15-H23)*$E$7^H23)</f>
        <v>740</v>
      </c>
      <c r="J24" s="9"/>
      <c r="K24" s="8"/>
      <c r="L24" s="9"/>
      <c r="M24" s="15">
        <f ca="1">$E$5*($E$6^(M9-L23)*$E$7^L23)</f>
        <v>740.00000000000011</v>
      </c>
      <c r="N24" s="9"/>
      <c r="O24" s="8"/>
      <c r="P24" s="8"/>
    </row>
    <row r="25" spans="5:16" ht="15.75" thickBot="1">
      <c r="F25" s="8"/>
      <c r="G25" s="8"/>
      <c r="H25" s="9"/>
      <c r="I25" s="13">
        <f ca="1">1-I23</f>
        <v>0.50035162045351789</v>
      </c>
      <c r="J25" s="9"/>
      <c r="K25" s="8"/>
      <c r="L25" s="9"/>
      <c r="M25" s="13">
        <f ca="1">1-M23</f>
        <v>0.62552724522486169</v>
      </c>
      <c r="N25" s="9"/>
      <c r="O25" s="8"/>
      <c r="P25" s="8"/>
    </row>
    <row r="26" spans="5:16" ht="15.75" thickBot="1">
      <c r="E26" s="8"/>
      <c r="F26" s="9">
        <v>1</v>
      </c>
      <c r="G26" s="14">
        <f ca="1">COMBIN(G18,G18-F26)*$E$8^(G18-F26)*($E$9^(G18-(G18-F26)))</f>
        <v>0.48674065511577191</v>
      </c>
      <c r="H26" s="9">
        <f>G18-F26</f>
        <v>0</v>
      </c>
      <c r="I26" s="8"/>
      <c r="J26" s="9">
        <v>2</v>
      </c>
      <c r="K26" s="14">
        <f ca="1">COMBIN(K12,K12-J26)*$E$8^(K12-J26)*($E$9^(K12-(K12-J26)))</f>
        <v>0.36479876938198291</v>
      </c>
      <c r="L26" s="9"/>
      <c r="M26" s="8"/>
      <c r="N26" s="9">
        <v>3</v>
      </c>
      <c r="O26" s="14">
        <f ca="1">COMBIN(O6,O6-N26)*$E$8^(O6-N26)*($E$9^(O6-(O6-N26)))</f>
        <v>0.30378518997043102</v>
      </c>
      <c r="P26" s="8"/>
    </row>
    <row r="27" spans="5:16" ht="15.75" thickBot="1">
      <c r="E27" s="8"/>
      <c r="F27" s="8"/>
      <c r="G27" s="15">
        <f ca="1">$E$5*($E$6^(G18-F26)*$E$7^F26)</f>
        <v>717.37741844837717</v>
      </c>
      <c r="H27" s="9"/>
      <c r="I27" s="8"/>
      <c r="J27" s="9"/>
      <c r="K27" s="15">
        <f ca="1">$E$5*($E$6^(K12-J26)*$E$7^J26)</f>
        <v>717.37741844837717</v>
      </c>
      <c r="L27" s="9"/>
      <c r="M27" s="8"/>
      <c r="N27" s="9"/>
      <c r="O27" s="15">
        <f ca="1">$E$5*($E$6^(O6-N26)*$E$7^N26)</f>
        <v>717.37741844837728</v>
      </c>
      <c r="P27" s="8"/>
    </row>
    <row r="28" spans="5:16" ht="15.75" thickBot="1">
      <c r="E28" s="8"/>
      <c r="F28" s="8"/>
      <c r="G28" s="13">
        <f ca="1">1-G26</f>
        <v>0.51325934488422809</v>
      </c>
      <c r="H28" s="9"/>
      <c r="I28" s="8"/>
      <c r="J28" s="9"/>
      <c r="K28" s="13">
        <f ca="1">1-K26</f>
        <v>0.63520123061801703</v>
      </c>
      <c r="L28" s="9"/>
      <c r="M28" s="8"/>
      <c r="N28" s="9"/>
      <c r="O28" s="13">
        <f ca="1">1-O26</f>
        <v>0.69621481002956898</v>
      </c>
      <c r="P28" s="8"/>
    </row>
    <row r="29" spans="5:16" ht="15.75" thickBot="1">
      <c r="E29" s="8"/>
      <c r="F29" s="8"/>
      <c r="G29" s="8"/>
      <c r="H29" s="9">
        <v>2</v>
      </c>
      <c r="I29" s="14">
        <f ca="1">COMBIN(I15,I15-H29)*$E$8^(I15-H29)*($E$9^(I15-(I15-H29)))</f>
        <v>0.23691646534253083</v>
      </c>
      <c r="J29" s="9"/>
      <c r="K29" s="8"/>
      <c r="L29" s="9">
        <v>3</v>
      </c>
      <c r="M29" s="14">
        <f ca="1">COMBIN(M9,M9-L29)*$E$8^(M9-L29)*($E$9^(M9-(M9-L29)))</f>
        <v>0.23674985599255169</v>
      </c>
      <c r="N29" s="9"/>
      <c r="O29" s="8"/>
      <c r="P29" s="8"/>
    </row>
    <row r="30" spans="5:16" ht="15.75" thickBot="1">
      <c r="E30" s="8"/>
      <c r="F30" s="8"/>
      <c r="G30" s="8"/>
      <c r="H30" s="9"/>
      <c r="I30" s="15">
        <f ca="1">$E$5*($E$6^(I15-H29)*$E$7^H29)</f>
        <v>695.44643310764604</v>
      </c>
      <c r="J30" s="9"/>
      <c r="K30" s="8"/>
      <c r="L30" s="9"/>
      <c r="M30" s="15">
        <f ca="1">$E$5*($E$6^(M9-L29)*$E$7^L29)</f>
        <v>695.44643310764604</v>
      </c>
      <c r="N30" s="9"/>
      <c r="O30" s="8"/>
      <c r="P30" s="8"/>
    </row>
    <row r="31" spans="5:16" ht="15.75" thickBot="1">
      <c r="E31" s="8"/>
      <c r="F31" s="8"/>
      <c r="G31" s="8"/>
      <c r="H31" s="9"/>
      <c r="I31" s="13">
        <f ca="1">1-I29</f>
        <v>0.76308353465746914</v>
      </c>
      <c r="J31" s="9"/>
      <c r="K31" s="8"/>
      <c r="L31" s="9"/>
      <c r="M31" s="13">
        <f ca="1">1-M29</f>
        <v>0.76325014400744828</v>
      </c>
      <c r="N31" s="9"/>
      <c r="O31" s="8"/>
      <c r="P31" s="8"/>
    </row>
    <row r="32" spans="5:16" ht="15.75" thickBot="1">
      <c r="E32" s="8"/>
      <c r="F32" s="8"/>
      <c r="G32" s="8"/>
      <c r="H32" s="9"/>
      <c r="I32" s="8"/>
      <c r="J32" s="9">
        <v>3</v>
      </c>
      <c r="K32" s="14">
        <f ca="1">COMBIN(K12,K12-J32)*$E$8^(K12-J32)*($E$9^(K12-(K12-J32)))</f>
        <v>0.11531687554853653</v>
      </c>
      <c r="L32" s="9"/>
      <c r="M32" s="8"/>
      <c r="N32" s="9">
        <v>4</v>
      </c>
      <c r="O32" s="14">
        <f ca="1">COMBIN(O6,O6-N32)*$E$8^(O6-N32)*($E$9^(O6-(O6-N32)))</f>
        <v>0.14404472500547408</v>
      </c>
      <c r="P32" s="8"/>
    </row>
    <row r="33" spans="1:18" ht="15.75" thickBot="1">
      <c r="E33" s="8"/>
      <c r="F33" s="8"/>
      <c r="G33" s="8"/>
      <c r="H33" s="9"/>
      <c r="I33" s="8"/>
      <c r="J33" s="9"/>
      <c r="K33" s="15">
        <f ca="1">$E$5*($E$6^(K12-J32)*$E$7^J32)</f>
        <v>674.18590115120958</v>
      </c>
      <c r="L33" s="9"/>
      <c r="M33" s="8"/>
      <c r="N33" s="9"/>
      <c r="O33" s="15">
        <f ca="1">$E$5*($E$6^(O6-N32)*$E$7^N32)</f>
        <v>674.18590115120958</v>
      </c>
      <c r="P33" s="8"/>
    </row>
    <row r="34" spans="1:18" ht="15.75" thickBot="1">
      <c r="E34" s="8"/>
      <c r="F34" s="8"/>
      <c r="G34" s="8"/>
      <c r="H34" s="9"/>
      <c r="I34" s="8"/>
      <c r="J34" s="9"/>
      <c r="K34" s="13">
        <f ca="1">1-K32</f>
        <v>0.88468312445146347</v>
      </c>
      <c r="L34" s="9"/>
      <c r="M34" s="8"/>
      <c r="N34" s="9"/>
      <c r="O34" s="13">
        <f ca="1">1-O32</f>
        <v>0.85595527499452595</v>
      </c>
      <c r="P34" s="8"/>
    </row>
    <row r="35" spans="1:18" ht="15.75" thickBot="1">
      <c r="E35" s="8"/>
      <c r="F35" s="8"/>
      <c r="G35" s="8"/>
      <c r="H35" s="8"/>
      <c r="I35" s="8"/>
      <c r="J35" s="9"/>
      <c r="K35" s="8"/>
      <c r="L35" s="9">
        <v>4</v>
      </c>
      <c r="M35" s="14">
        <f ca="1">COMBIN(M9,M9-L35)*$E$8^(M9-L35)*($E$9^(M9-(M9-L35)))</f>
        <v>5.6129411550398613E-2</v>
      </c>
      <c r="N35" s="9"/>
      <c r="O35" s="8"/>
      <c r="P35" s="8"/>
      <c r="R35" s="26"/>
    </row>
    <row r="36" spans="1:18" ht="15.75" thickBot="1">
      <c r="E36" s="8"/>
      <c r="F36" s="8"/>
      <c r="G36" s="8"/>
      <c r="H36" s="8"/>
      <c r="I36" s="8"/>
      <c r="J36" s="8"/>
      <c r="K36" s="8"/>
      <c r="L36" s="9"/>
      <c r="M36" s="15">
        <f ca="1">$E$5*($E$6^(M9-L35)*$E$7^L35)</f>
        <v>653.57532611101021</v>
      </c>
      <c r="N36" s="9"/>
      <c r="O36" s="8"/>
      <c r="P36" s="8"/>
    </row>
    <row r="37" spans="1:18" ht="15.75" thickBot="1">
      <c r="E37" s="8"/>
      <c r="F37" s="8"/>
      <c r="G37" s="8"/>
      <c r="H37" s="8"/>
      <c r="I37" s="8"/>
      <c r="J37" s="8"/>
      <c r="K37" s="8"/>
      <c r="L37" s="9"/>
      <c r="M37" s="13">
        <f ca="1">1-M35</f>
        <v>0.94387058844960137</v>
      </c>
      <c r="N37" s="9"/>
      <c r="O37" s="8"/>
      <c r="P37" s="8"/>
    </row>
    <row r="38" spans="1:18" ht="15.75" thickBot="1">
      <c r="E38" s="8"/>
      <c r="F38" s="8"/>
      <c r="G38" s="8"/>
      <c r="H38" s="8"/>
      <c r="I38" s="8"/>
      <c r="J38" s="8"/>
      <c r="K38" s="8"/>
      <c r="L38" s="9"/>
      <c r="M38" s="8"/>
      <c r="N38" s="9">
        <v>5</v>
      </c>
      <c r="O38" s="14">
        <f ca="1">COMBIN(O6,O6-N38)*$E$8^(O6-N38)*($E$9^(O6-(O6-N38)))</f>
        <v>2.7320466549303795E-2</v>
      </c>
      <c r="P38" s="8"/>
    </row>
    <row r="39" spans="1:18" ht="15.75" thickBot="1">
      <c r="E39" s="8"/>
      <c r="F39" s="8"/>
      <c r="G39" s="8"/>
      <c r="H39" s="8"/>
      <c r="I39" s="8"/>
      <c r="J39" s="8"/>
      <c r="K39" s="8"/>
      <c r="L39" s="9"/>
      <c r="M39" s="8"/>
      <c r="N39" s="9"/>
      <c r="O39" s="15">
        <f ca="1">$E$5*($E$6^(O6-N38)*$E$7^N38)</f>
        <v>633.59483811766586</v>
      </c>
      <c r="P39" s="8"/>
    </row>
    <row r="40" spans="1:18" ht="15.75" thickBot="1">
      <c r="E40" s="8"/>
      <c r="F40" s="8"/>
      <c r="G40" s="8"/>
      <c r="H40" s="8"/>
      <c r="I40" s="8"/>
      <c r="J40" s="8"/>
      <c r="K40" s="8"/>
      <c r="L40" s="9"/>
      <c r="M40" s="8"/>
      <c r="N40" s="9"/>
      <c r="O40" s="13">
        <f ca="1">1-O38</f>
        <v>0.97267953345069624</v>
      </c>
      <c r="P40" s="8"/>
    </row>
    <row r="42" spans="1:18">
      <c r="A42" t="s">
        <v>8</v>
      </c>
    </row>
    <row r="43" spans="1:18" outlineLevel="1"/>
    <row r="44" spans="1:18" outlineLevel="1"/>
    <row r="45" spans="1:18" outlineLevel="1">
      <c r="O45" s="1">
        <v>5</v>
      </c>
    </row>
    <row r="46" spans="1:18" outlineLevel="1"/>
    <row r="47" spans="1:18" ht="15.75" outlineLevel="1" thickBot="1">
      <c r="N47" s="23"/>
    </row>
    <row r="48" spans="1:18" ht="15.75" outlineLevel="1" thickBot="1">
      <c r="M48" s="1">
        <v>4</v>
      </c>
      <c r="O48" s="22">
        <f ca="1">MAX(O9-$C$6,0)</f>
        <v>114.27471793623511</v>
      </c>
    </row>
    <row r="49" spans="5:15" ht="15.75" outlineLevel="1" thickBot="1"/>
    <row r="50" spans="5:15" ht="15.75" outlineLevel="1" thickBot="1">
      <c r="M50" s="24">
        <f ca="1">(O48-O54)/(O9-O15)</f>
        <v>1</v>
      </c>
    </row>
    <row r="51" spans="5:15" ht="15.75" outlineLevel="1" thickBot="1">
      <c r="K51" s="1">
        <v>3</v>
      </c>
      <c r="M51" s="22">
        <f ca="1">($E$8*O48+$E$9*O54)/$C$11</f>
        <v>88.7925407507134</v>
      </c>
    </row>
    <row r="52" spans="5:15" ht="15.75" outlineLevel="1" thickBot="1"/>
    <row r="53" spans="5:15" ht="15.75" outlineLevel="1" thickBot="1">
      <c r="K53" s="24">
        <f ca="1">(M51-M57)/(M12-M18)</f>
        <v>0.99956942605691101</v>
      </c>
    </row>
    <row r="54" spans="5:15" ht="15.75" outlineLevel="1" thickBot="1">
      <c r="I54" s="1">
        <v>2</v>
      </c>
      <c r="K54" s="22">
        <f ca="1">($E$8*M51+$E$9*M57)/$C$11</f>
        <v>64.138059066585924</v>
      </c>
      <c r="O54" s="22">
        <f ca="1">MAX(O15-$C$6,0)</f>
        <v>62.238878126853365</v>
      </c>
    </row>
    <row r="55" spans="5:15" ht="15.75" outlineLevel="1" thickBot="1">
      <c r="K55" s="25">
        <f ca="1">(M50-M56)/(M12-M18)</f>
        <v>0</v>
      </c>
    </row>
    <row r="56" spans="5:15" ht="15.75" outlineLevel="1" thickBot="1">
      <c r="I56" s="24">
        <f ca="1">(K54-K60)/(K15-K21)</f>
        <v>0.84164223312647257</v>
      </c>
      <c r="M56" s="24">
        <f ca="1">(O54-O60)/(O15-O21)</f>
        <v>1</v>
      </c>
    </row>
    <row r="57" spans="5:15" ht="15.75" outlineLevel="1" thickBot="1">
      <c r="G57" s="1">
        <v>1</v>
      </c>
      <c r="I57" s="22">
        <f ca="1">($E$8*K54+$E$9*K60)/$C$11</f>
        <v>44.027958348980768</v>
      </c>
      <c r="M57" s="22">
        <f ca="1">($E$8*O54+$E$9*O60)/$C$11</f>
        <v>38.369211845756176</v>
      </c>
    </row>
    <row r="58" spans="5:15" ht="15.75" outlineLevel="1" thickBot="1">
      <c r="I58" s="25">
        <f ca="1">(K53-K59)/(K15-K21)</f>
        <v>6.8371838054405564E-3</v>
      </c>
    </row>
    <row r="59" spans="5:15" ht="15.75" outlineLevel="1" thickBot="1">
      <c r="G59" s="24">
        <f ca="1">(I57-I63)/(I18-I24)</f>
        <v>0.6444695585304473</v>
      </c>
      <c r="K59" s="24">
        <f ca="1">(M57-M63)/(M18-M24)</f>
        <v>0.66521137306583644</v>
      </c>
    </row>
    <row r="60" spans="5:15" ht="15.75" outlineLevel="1" thickBot="1">
      <c r="E60" s="1">
        <v>0</v>
      </c>
      <c r="G60" s="22">
        <f ca="1">($E$8*I57+$E$9*I63)/$C$11</f>
        <v>29.106050658436423</v>
      </c>
      <c r="K60" s="22">
        <f ca="1">($E$8*M57+$E$9*M63)/$C$11</f>
        <v>22.979320850523774</v>
      </c>
      <c r="O60" s="22">
        <f ca="1">MAX(O21-$C$6,0)</f>
        <v>13.33598733064332</v>
      </c>
    </row>
    <row r="61" spans="5:15" ht="15.75" outlineLevel="1" thickBot="1">
      <c r="G61" s="25">
        <f ca="1">(I56-I62)/(I18-I24)</f>
        <v>8.8132749246164176E-3</v>
      </c>
      <c r="K61" s="25">
        <f ca="1">(M56-M62)/(M18-M24)</f>
        <v>1.4972741076842872E-2</v>
      </c>
    </row>
    <row r="62" spans="5:15" ht="15.75" outlineLevel="1" thickBot="1">
      <c r="E62" s="24">
        <f ca="1">(G60-G66)/(G21-G27)</f>
        <v>0.46411925622355288</v>
      </c>
      <c r="I62" s="24">
        <f ca="1">(K60-K66)/(K21-K27)</f>
        <v>0.42382357269625864</v>
      </c>
      <c r="M62" s="24">
        <f ca="1">(O60-O66)/(O21-O27)</f>
        <v>0.29017412106122514</v>
      </c>
    </row>
    <row r="63" spans="5:15" ht="15.75" outlineLevel="1" thickBot="1">
      <c r="E63" s="22">
        <f ca="1">($E$8*G60+$E$9*G66)/$C$11</f>
        <v>18.691283719275102</v>
      </c>
      <c r="I63" s="22">
        <f ca="1">($E$8*K60+$E$9*K66)/$C$11</f>
        <v>13.475024287983862</v>
      </c>
      <c r="M63" s="22">
        <f ca="1">($E$8*O60+$E$9*O66)/$C$11</f>
        <v>6.8329523764185387</v>
      </c>
    </row>
    <row r="64" spans="5:15" ht="15.75" outlineLevel="1" thickBot="1">
      <c r="E64" s="25">
        <f ca="1">(G59-G65)/(G21-G27)</f>
        <v>8.3180530835092609E-3</v>
      </c>
      <c r="I64" s="25">
        <f ca="1">(K59-K65)/(K21-K27)</f>
        <v>1.1137128656127942E-2</v>
      </c>
    </row>
    <row r="65" spans="4:15" ht="15.75" outlineLevel="1" thickBot="1">
      <c r="G65" s="24">
        <f ca="1">(I63-I69)/(I24-I30)</f>
        <v>0.26218374292564062</v>
      </c>
      <c r="K65" s="24">
        <f ca="1">(M63-M69)/(M24-M30)</f>
        <v>0.15336487857252021</v>
      </c>
    </row>
    <row r="66" spans="4:15" ht="15.75" outlineLevel="1" thickBot="1">
      <c r="G66" s="22">
        <f ca="1">($E$8*I63+$E$9*I69)/$C$11</f>
        <v>7.7757938517001364</v>
      </c>
      <c r="K66" s="22">
        <f ca="1">($E$8*M63+$E$9*M69)/$C$11</f>
        <v>3.5009959908346358</v>
      </c>
      <c r="O66" s="22">
        <f ca="1">MAX(O27-$C$6,0)</f>
        <v>0</v>
      </c>
    </row>
    <row r="67" spans="4:15" ht="15.75" outlineLevel="1" thickBot="1">
      <c r="D67" s="23" t="s">
        <v>1</v>
      </c>
      <c r="E67" s="27">
        <f ca="1">(I63-E63)/(2*$E$11)</f>
        <v>-61.771493265290999</v>
      </c>
      <c r="G67" s="25">
        <f ca="1">(I62-I68)/(I24-I30)</f>
        <v>7.6933477246834041E-3</v>
      </c>
      <c r="K67" s="25">
        <f ca="1">(M62-M68)/(M24-M30)</f>
        <v>6.512926827212627E-3</v>
      </c>
    </row>
    <row r="68" spans="4:15" ht="15.75" outlineLevel="1" thickBot="1">
      <c r="D68" s="23" t="s">
        <v>2</v>
      </c>
      <c r="E68" s="28">
        <f ca="1">E67/365</f>
        <v>-0.16923696785011233</v>
      </c>
      <c r="I68" s="24">
        <f ca="1">(K66-K72)/(K27-K33)</f>
        <v>8.1057490218437486E-2</v>
      </c>
      <c r="M68" s="24">
        <f ca="1">(O66-O72)/(O27-O33)</f>
        <v>0</v>
      </c>
    </row>
    <row r="69" spans="4:15" ht="15.75" outlineLevel="1" thickBot="1">
      <c r="I69" s="22">
        <f ca="1">($E$8*K66+$E$9*K72)/$C$11</f>
        <v>1.7938033594585989</v>
      </c>
      <c r="M69" s="22">
        <f ca="1">($E$8*O66+$E$9*O72)/$C$11</f>
        <v>0</v>
      </c>
    </row>
    <row r="70" spans="4:15" ht="15.75" outlineLevel="1" thickBot="1">
      <c r="I70" s="25">
        <f ca="1">(K65-K71)/(K27-K33)</f>
        <v>3.5508101629617337E-3</v>
      </c>
    </row>
    <row r="71" spans="4:15" ht="15.75" outlineLevel="1" thickBot="1">
      <c r="K71" s="24">
        <f ca="1">(M69-M75)/(M30-M36)</f>
        <v>0</v>
      </c>
    </row>
    <row r="72" spans="4:15" ht="15.75" outlineLevel="1" thickBot="1">
      <c r="K72" s="22">
        <f ca="1">($E$8*M69+$E$9*M75)/$C$11</f>
        <v>0</v>
      </c>
      <c r="O72" s="22">
        <f ca="1">MAX(O33-$C$6,0)</f>
        <v>0</v>
      </c>
    </row>
    <row r="73" spans="4:15" ht="15.75" outlineLevel="1" thickBot="1">
      <c r="K73" s="25">
        <f ca="1">(M68-M74)/(M30-M36)</f>
        <v>0</v>
      </c>
    </row>
    <row r="74" spans="4:15" ht="15.75" outlineLevel="1" thickBot="1">
      <c r="M74" s="24">
        <f ca="1">(O72-O78)/(O33-O39)</f>
        <v>0</v>
      </c>
    </row>
    <row r="75" spans="4:15" ht="15.75" outlineLevel="1" thickBot="1">
      <c r="M75" s="22">
        <f ca="1">($E$8*O72+$E$9*O78)/$C$11</f>
        <v>0</v>
      </c>
    </row>
    <row r="76" spans="4:15" outlineLevel="1"/>
    <row r="77" spans="4:15" ht="15.75" outlineLevel="1" thickBot="1"/>
    <row r="78" spans="4:15" ht="15.75" outlineLevel="1" thickBot="1">
      <c r="O78" s="22">
        <f ca="1">MAX(O39-$C$6,0)</f>
        <v>0</v>
      </c>
    </row>
    <row r="79" spans="4:15" outlineLevel="1"/>
    <row r="80" spans="4:15" outlineLevel="1"/>
    <row r="82" spans="1:15">
      <c r="A82" t="s">
        <v>9</v>
      </c>
    </row>
    <row r="83" spans="1:15" outlineLevel="1">
      <c r="O83" s="1">
        <v>5</v>
      </c>
    </row>
    <row r="84" spans="1:15" outlineLevel="1"/>
    <row r="85" spans="1:15" ht="15.75" outlineLevel="1" thickBot="1">
      <c r="N85" s="23"/>
    </row>
    <row r="86" spans="1:15" ht="15.75" outlineLevel="1" thickBot="1">
      <c r="M86" s="1">
        <v>4</v>
      </c>
      <c r="O86" s="22">
        <f ca="1">MAX($C$6-O9,0)</f>
        <v>0</v>
      </c>
    </row>
    <row r="87" spans="1:15" ht="15.75" outlineLevel="1" thickBot="1"/>
    <row r="88" spans="1:15" ht="15.75" outlineLevel="1" thickBot="1">
      <c r="M88" s="24">
        <f ca="1">(O86-O92)/(O9-O15)</f>
        <v>0</v>
      </c>
    </row>
    <row r="89" spans="1:15" ht="15.75" outlineLevel="1" thickBot="1">
      <c r="K89" s="1">
        <v>3</v>
      </c>
      <c r="M89" s="22">
        <f ca="1">($E$8*O86+$E$9*O92)/$C$11</f>
        <v>0</v>
      </c>
    </row>
    <row r="90" spans="1:15" ht="15.75" outlineLevel="1" thickBot="1"/>
    <row r="91" spans="1:15" ht="15.75" outlineLevel="1" thickBot="1">
      <c r="K91" s="24">
        <f ca="1">(M89-M95)/(M12-M18)</f>
        <v>0</v>
      </c>
    </row>
    <row r="92" spans="1:15" ht="15.75" outlineLevel="1" thickBot="1">
      <c r="I92" s="1">
        <v>2</v>
      </c>
      <c r="K92" s="22">
        <f ca="1">($E$8*M89+$E$9*M95)/$C$11</f>
        <v>0</v>
      </c>
      <c r="O92" s="22">
        <f ca="1">MAX($C$6-O15,0)</f>
        <v>0</v>
      </c>
    </row>
    <row r="93" spans="1:15" ht="15.75" outlineLevel="1" thickBot="1">
      <c r="K93" s="25">
        <f ca="1">(M88-M94)/(M12-M18)</f>
        <v>0</v>
      </c>
    </row>
    <row r="94" spans="1:15" ht="15.75" outlineLevel="1" thickBot="1">
      <c r="I94" s="24">
        <f ca="1">(K92-K98)/(K15-K21)</f>
        <v>-0.1574968043812702</v>
      </c>
      <c r="M94" s="24">
        <f ca="1">(O92-O98)/(O15-O21)</f>
        <v>0</v>
      </c>
    </row>
    <row r="95" spans="1:15" ht="15.75" outlineLevel="1" thickBot="1">
      <c r="G95" s="1">
        <v>1</v>
      </c>
      <c r="I95" s="22">
        <f ca="1">($E$8*K92+$E$9*K98)/$C$11</f>
        <v>3.7424004379756797</v>
      </c>
      <c r="M95" s="22">
        <f ca="1">($E$8*O92+$E$9*O98)/$C$11</f>
        <v>0</v>
      </c>
    </row>
    <row r="96" spans="1:15" ht="15.75" outlineLevel="1" thickBot="1">
      <c r="I96" s="25">
        <f ca="1">(K91-K97)/(K15-K21)</f>
        <v>6.8371838054406006E-3</v>
      </c>
    </row>
    <row r="97" spans="4:15" ht="15.75" outlineLevel="1" thickBot="1">
      <c r="G97" s="24">
        <f ca="1">(I95-I101)/(I18-I24)</f>
        <v>-0.35423927574222086</v>
      </c>
      <c r="K97" s="24">
        <f ca="1">(M95-M101)/(M18-M24)</f>
        <v>-0.33435805299107674</v>
      </c>
    </row>
    <row r="98" spans="4:15" ht="15.75" outlineLevel="1" thickBot="1">
      <c r="E98" s="1">
        <v>0</v>
      </c>
      <c r="G98" s="22">
        <f ca="1">($E$8*I95+$E$9*I101)/$C$11</f>
        <v>11.895931365365781</v>
      </c>
      <c r="K98" s="22">
        <f ca="1">($E$8*M95+$E$9*M101)/$C$11</f>
        <v>7.7020490254092948</v>
      </c>
      <c r="O98" s="22">
        <f ca="1">MAX($C$6-O21,0)</f>
        <v>0</v>
      </c>
    </row>
    <row r="99" spans="4:15" ht="15.75" outlineLevel="1" thickBot="1">
      <c r="G99" s="25">
        <f ca="1">(I94-I100)/(I18-I24)</f>
        <v>8.8132749246163898E-3</v>
      </c>
      <c r="K99" s="25">
        <f ca="1">(M94-M100)/(M18-M24)</f>
        <v>1.4972741076842872E-2</v>
      </c>
    </row>
    <row r="100" spans="4:15" ht="15.75" outlineLevel="1" thickBot="1">
      <c r="E100" s="24">
        <f ca="1">(G98-G104)/(G21-G27)</f>
        <v>-0.53415956004834375</v>
      </c>
      <c r="I100" s="24">
        <f ca="1">(K98-K104)/(K21-K27)</f>
        <v>-0.57531546481148288</v>
      </c>
      <c r="M100" s="24">
        <f ca="1">(O98-O104)/(O21-O27)</f>
        <v>-0.7098258789387748</v>
      </c>
    </row>
    <row r="101" spans="4:15" ht="15.75" outlineLevel="1" thickBot="1">
      <c r="E101" s="22">
        <f ca="1">($E$8*G98+$E$9*G104)/$C$11</f>
        <v>23.803686212892391</v>
      </c>
      <c r="I101" s="22">
        <f ca="1">($E$8*K98+$E$9*K104)/$C$11</f>
        <v>20.536132725729733</v>
      </c>
      <c r="M101" s="22">
        <f ca="1">($E$8*O98+$E$9*O104)/$C$11</f>
        <v>15.851205709535504</v>
      </c>
    </row>
    <row r="102" spans="4:15" ht="15.75" outlineLevel="1" thickBot="1">
      <c r="E102" s="25">
        <f ca="1">(G97-G103)/(G21-G27)</f>
        <v>8.3180530835092956E-3</v>
      </c>
      <c r="I102" s="25">
        <f ca="1">(K97-K103)/(K21-K27)</f>
        <v>1.1137128656127876E-2</v>
      </c>
    </row>
    <row r="103" spans="4:15" ht="15.75" outlineLevel="1" thickBot="1">
      <c r="G103" s="24">
        <f ca="1">(I101-I107)/(I24-I30)</f>
        <v>-0.73652509134702915</v>
      </c>
      <c r="K103" s="24">
        <f ca="1">(M101-M107)/(M24-M30)</f>
        <v>-0.84620454748438989</v>
      </c>
    </row>
    <row r="104" spans="4:15" ht="15.75" outlineLevel="1" thickBot="1">
      <c r="G104" s="22">
        <f ca="1">($E$8*I101+$E$9*I107)/$C$11</f>
        <v>36.445140299968571</v>
      </c>
      <c r="K104" s="22">
        <f ca="1">($E$8*M101+$E$9*M107)/$C$11</f>
        <v>34.142724443980796</v>
      </c>
      <c r="O104" s="22">
        <f ca="1">MAX($C$6-O27,0)</f>
        <v>32.622581551622716</v>
      </c>
    </row>
    <row r="105" spans="4:15" ht="15.75" outlineLevel="1" thickBot="1">
      <c r="D105" s="23" t="s">
        <v>1</v>
      </c>
      <c r="E105" s="27">
        <f ca="1">(I101-E101)/(2*$E$11)</f>
        <v>-38.694712347978843</v>
      </c>
      <c r="G105" s="25">
        <f ca="1">(I100-I106)/(I24-I30)</f>
        <v>7.6933477246834293E-3</v>
      </c>
      <c r="K105" s="25">
        <f ca="1">(M100-M106)/(M24-M30)</f>
        <v>6.5129268272126287E-3</v>
      </c>
    </row>
    <row r="106" spans="4:15" ht="15.75" outlineLevel="1" thickBot="1">
      <c r="D106" s="23" t="s">
        <v>2</v>
      </c>
      <c r="E106" s="28">
        <f ca="1">E105/365</f>
        <v>-0.10601291054240779</v>
      </c>
      <c r="I106" s="24">
        <f ca="1">(K104-K110)/(K27-K33)</f>
        <v>-0.91808154728930513</v>
      </c>
      <c r="M106" s="24">
        <f ca="1">(O104-O110)/(O27-O33)</f>
        <v>-1</v>
      </c>
    </row>
    <row r="107" spans="4:15" ht="15.75" outlineLevel="1" thickBot="1">
      <c r="I107" s="22">
        <f ca="1">($E$8*K104+$E$9*K110)/$C$11</f>
        <v>53.350952650956707</v>
      </c>
      <c r="M107" s="22">
        <f ca="1">($E$8*O104+$E$9*O110)/$C$11</f>
        <v>53.552636620495477</v>
      </c>
    </row>
    <row r="108" spans="4:15" ht="15.75" outlineLevel="1" thickBot="1">
      <c r="I108" s="25">
        <f ca="1">(K103-K109)/(K27-K33)</f>
        <v>3.5508101629617627E-3</v>
      </c>
    </row>
    <row r="109" spans="4:15" ht="15.75" outlineLevel="1" thickBot="1">
      <c r="K109" s="24">
        <f ca="1">(M107-M113)/(M30-M36)</f>
        <v>-0.99956942605691135</v>
      </c>
    </row>
    <row r="110" spans="4:15" ht="15.75" outlineLevel="1" thickBot="1">
      <c r="K110" s="22">
        <f ca="1">($E$8*M107+$E$9*M113)/$C$11</f>
        <v>73.796059473937206</v>
      </c>
      <c r="O110" s="22">
        <f ca="1">MAX($C$6-O33,0)</f>
        <v>75.814098848790422</v>
      </c>
    </row>
    <row r="111" spans="4:15" ht="15.75" outlineLevel="1" thickBot="1">
      <c r="K111" s="25">
        <f ca="1">(M106-M112)/(M30-M36)</f>
        <v>0</v>
      </c>
    </row>
    <row r="112" spans="4:15" ht="15.75" outlineLevel="1" thickBot="1">
      <c r="M112" s="24">
        <f ca="1">(O110-O116)/(O33-O39)</f>
        <v>-1</v>
      </c>
    </row>
    <row r="113" spans="1:15" ht="15.75" outlineLevel="1" thickBot="1">
      <c r="M113" s="22">
        <f ca="1">($E$8*O110+$E$9*O116)/$C$11</f>
        <v>95.405715009490279</v>
      </c>
    </row>
    <row r="114" spans="1:15" outlineLevel="1"/>
    <row r="115" spans="1:15" ht="15.75" outlineLevel="1" thickBot="1"/>
    <row r="116" spans="1:15" ht="15.75" outlineLevel="1" thickBot="1">
      <c r="O116" s="22">
        <f ca="1">MAX($C$6-O39,0)</f>
        <v>116.40516188233414</v>
      </c>
    </row>
    <row r="117" spans="1:15" outlineLevel="1"/>
    <row r="119" spans="1:15">
      <c r="A119" t="s">
        <v>10</v>
      </c>
    </row>
    <row r="120" spans="1:15" outlineLevel="1"/>
    <row r="121" spans="1:15" outlineLevel="1">
      <c r="O121" s="1">
        <v>5</v>
      </c>
    </row>
    <row r="122" spans="1:15" outlineLevel="1"/>
    <row r="123" spans="1:15" ht="15.75" outlineLevel="1" thickBot="1">
      <c r="N123" s="23"/>
    </row>
    <row r="124" spans="1:15" ht="15.75" outlineLevel="1" thickBot="1">
      <c r="M124" s="1">
        <v>4</v>
      </c>
      <c r="O124" s="22">
        <f ca="1">MAX(O9-$C$6,0)</f>
        <v>114.27471793623511</v>
      </c>
    </row>
    <row r="125" spans="1:15" ht="15.75" outlineLevel="1" thickBot="1"/>
    <row r="126" spans="1:15" ht="15.75" outlineLevel="1" thickBot="1">
      <c r="M126" s="24">
        <f ca="1">(O124-O130)/(O9-O15)</f>
        <v>1</v>
      </c>
    </row>
    <row r="127" spans="1:15" ht="15.75" outlineLevel="1" thickBot="1">
      <c r="K127" s="1">
        <v>3</v>
      </c>
      <c r="M127" s="22">
        <f ca="1">MAX(($E$8*O124+$E$9*O130)/$C$11,M12-$C$6)</f>
        <v>88.7925407507134</v>
      </c>
    </row>
    <row r="128" spans="1:15" ht="15.75" outlineLevel="1" thickBot="1"/>
    <row r="129" spans="4:15" ht="15.75" outlineLevel="1" thickBot="1">
      <c r="K129" s="24">
        <f ca="1">(M127-M133)/(M12-M18)</f>
        <v>0.99956942605691101</v>
      </c>
    </row>
    <row r="130" spans="4:15" ht="15.75" outlineLevel="1" thickBot="1">
      <c r="I130" s="1">
        <v>2</v>
      </c>
      <c r="K130" s="22">
        <f ca="1">MAX(($E$8*M127+$E$9*M133)/$C$11,K15-$C$6)</f>
        <v>64.138059066585924</v>
      </c>
      <c r="O130" s="22">
        <f ca="1">MAX(O15-$C$6,0)</f>
        <v>62.238878126853365</v>
      </c>
    </row>
    <row r="131" spans="4:15" ht="15.75" outlineLevel="1" thickBot="1">
      <c r="K131" s="25">
        <f ca="1">(M126-M132)/(M12-M18)</f>
        <v>0</v>
      </c>
    </row>
    <row r="132" spans="4:15" ht="15.75" outlineLevel="1" thickBot="1">
      <c r="I132" s="24">
        <f ca="1">(K130-K136)/(K15-K21)</f>
        <v>0.84164223312647257</v>
      </c>
      <c r="M132" s="24">
        <f ca="1">(O130-O136)/(O15-O21)</f>
        <v>1</v>
      </c>
    </row>
    <row r="133" spans="4:15" ht="15.75" outlineLevel="1" thickBot="1">
      <c r="G133" s="1">
        <v>1</v>
      </c>
      <c r="I133" s="22">
        <f ca="1">MAX(($E$8*K130+$E$9*K136)/$C$11,I18-$C$6)</f>
        <v>44.027958348980768</v>
      </c>
      <c r="M133" s="22">
        <f ca="1">MAX(($E$8*O130+$E$9*O136)/$C$11,M18-$C$6)</f>
        <v>38.369211845756176</v>
      </c>
    </row>
    <row r="134" spans="4:15" ht="15.75" outlineLevel="1" thickBot="1">
      <c r="I134" s="25">
        <f ca="1">(K129-K135)/(K15-K21)</f>
        <v>6.8371838054405564E-3</v>
      </c>
    </row>
    <row r="135" spans="4:15" ht="15.75" outlineLevel="1" thickBot="1">
      <c r="G135" s="24">
        <f ca="1">(I133-I139)/(I18-I24)</f>
        <v>0.6444695585304473</v>
      </c>
      <c r="K135" s="24">
        <f ca="1">(M133-M139)/(M18-M24)</f>
        <v>0.66521137306583644</v>
      </c>
    </row>
    <row r="136" spans="4:15" ht="15.75" outlineLevel="1" thickBot="1">
      <c r="E136" s="1">
        <v>0</v>
      </c>
      <c r="G136" s="22">
        <f ca="1">MAX(($E$8*I133+$E$9*I139)/$C$11,G21-$C$6)</f>
        <v>29.106050658436423</v>
      </c>
      <c r="K136" s="22">
        <f ca="1">MAX(($E$8*M133+$E$9*M139)/$C$11,K21-$C$6)</f>
        <v>22.979320850523774</v>
      </c>
      <c r="O136" s="22">
        <f ca="1">MAX(O21-$C$6,0)</f>
        <v>13.33598733064332</v>
      </c>
    </row>
    <row r="137" spans="4:15" ht="15.75" outlineLevel="1" thickBot="1">
      <c r="G137" s="25">
        <f ca="1">(I132-I138)/(I18-I24)</f>
        <v>8.8132749246164176E-3</v>
      </c>
      <c r="K137" s="25">
        <f ca="1">(M132-M138)/(M18-M24)</f>
        <v>1.4972741076842872E-2</v>
      </c>
    </row>
    <row r="138" spans="4:15" ht="15.75" outlineLevel="1" thickBot="1">
      <c r="E138" s="24">
        <f ca="1">(G136-G142)/(G21-G27)</f>
        <v>0.46411925622355288</v>
      </c>
      <c r="I138" s="24">
        <f ca="1">(K136-K142)/(K21-K27)</f>
        <v>0.42382357269625864</v>
      </c>
      <c r="M138" s="24">
        <f ca="1">(O136-O142)/(O21-O27)</f>
        <v>0.29017412106122514</v>
      </c>
    </row>
    <row r="139" spans="4:15" ht="15.75" outlineLevel="1" thickBot="1">
      <c r="E139" s="22">
        <f ca="1">MAX(($E$8*G136+$E$9*G142)/$C$11,E24-$C$6)</f>
        <v>18.691283719275102</v>
      </c>
      <c r="I139" s="22">
        <f ca="1">MAX(($E$8*K136+$E$9*K142)/$C$11,I24-$C$6)</f>
        <v>13.475024287983862</v>
      </c>
      <c r="M139" s="22">
        <f ca="1">MAX(($E$8*O136+$E$9*O142)/$C$11,M24-$C$6)</f>
        <v>6.8329523764185387</v>
      </c>
    </row>
    <row r="140" spans="4:15" ht="15.75" outlineLevel="1" thickBot="1">
      <c r="E140" s="25">
        <f ca="1">(G135-G141)/(G21-G27)</f>
        <v>8.3180530835092609E-3</v>
      </c>
      <c r="I140" s="25">
        <f ca="1">(K135-K141)/(K21-K27)</f>
        <v>1.1137128656127942E-2</v>
      </c>
    </row>
    <row r="141" spans="4:15" ht="15.75" outlineLevel="1" thickBot="1">
      <c r="G141" s="24">
        <f ca="1">(I139-I145)/(I24-I30)</f>
        <v>0.26218374292564062</v>
      </c>
      <c r="K141" s="24">
        <f ca="1">(M139-M145)/(M24-M30)</f>
        <v>0.15336487857252021</v>
      </c>
    </row>
    <row r="142" spans="4:15" ht="15.75" outlineLevel="1" thickBot="1">
      <c r="G142" s="22">
        <f ca="1">MAX(($E$8*I139+$E$9*I145)/$C$11,G27-$C$6)</f>
        <v>7.7757938517001364</v>
      </c>
      <c r="K142" s="22">
        <f ca="1">MAX(($E$8*M139+$E$9*M145)/$C$11,K27-$C$6)</f>
        <v>3.5009959908346358</v>
      </c>
      <c r="O142" s="22">
        <f ca="1">MAX(O27-$C$6,0)</f>
        <v>0</v>
      </c>
    </row>
    <row r="143" spans="4:15" ht="15.75" outlineLevel="1" thickBot="1">
      <c r="D143" s="23" t="s">
        <v>1</v>
      </c>
      <c r="E143" s="27">
        <f ca="1">(I139-E139)/(2*$E$11)</f>
        <v>-61.771493265290999</v>
      </c>
      <c r="G143" s="25">
        <f ca="1">(I138-I144)/(I24-I30)</f>
        <v>7.6933477246834041E-3</v>
      </c>
      <c r="K143" s="25">
        <f ca="1">(M138-M144)/(M24-M30)</f>
        <v>6.512926827212627E-3</v>
      </c>
    </row>
    <row r="144" spans="4:15" ht="15.75" outlineLevel="1" thickBot="1">
      <c r="D144" s="23" t="s">
        <v>2</v>
      </c>
      <c r="E144" s="28">
        <f ca="1">E143/365</f>
        <v>-0.16923696785011233</v>
      </c>
      <c r="I144" s="24">
        <f ca="1">(K142-K148)/(K27-K33)</f>
        <v>8.1057490218437486E-2</v>
      </c>
      <c r="M144" s="24">
        <f ca="1">(O142-O148)/(O27-O33)</f>
        <v>0</v>
      </c>
    </row>
    <row r="145" spans="1:15" ht="15.75" outlineLevel="1" thickBot="1">
      <c r="I145" s="22">
        <f ca="1">MAX(($E$8*K142+$E$9*K148)/$C$11,I30-$C$6)</f>
        <v>1.7938033594585989</v>
      </c>
      <c r="M145" s="22">
        <f ca="1">MAX(($E$8*O142+$E$9*O148)/$C$11,M30-$C$6)</f>
        <v>0</v>
      </c>
    </row>
    <row r="146" spans="1:15" ht="15.75" outlineLevel="1" thickBot="1">
      <c r="I146" s="25">
        <f ca="1">(K141-K147)/(K27-K33)</f>
        <v>3.5508101629617337E-3</v>
      </c>
    </row>
    <row r="147" spans="1:15" ht="15.75" outlineLevel="1" thickBot="1">
      <c r="K147" s="24">
        <f ca="1">(M145-M151)/(M30-M36)</f>
        <v>0</v>
      </c>
    </row>
    <row r="148" spans="1:15" ht="15.75" outlineLevel="1" thickBot="1">
      <c r="K148" s="22">
        <f ca="1">MAX(($E$8*M145+$E$9*M151)/$C$11,K33-$C$6)</f>
        <v>0</v>
      </c>
      <c r="O148" s="22">
        <f ca="1">MAX(O33-$C$6,0)</f>
        <v>0</v>
      </c>
    </row>
    <row r="149" spans="1:15" ht="15.75" outlineLevel="1" thickBot="1">
      <c r="K149" s="25">
        <f ca="1">(M144-M150)/(M30-M36)</f>
        <v>0</v>
      </c>
    </row>
    <row r="150" spans="1:15" ht="15.75" outlineLevel="1" thickBot="1">
      <c r="M150" s="24">
        <f ca="1">(O148-O154)/(O33-O39)</f>
        <v>0</v>
      </c>
    </row>
    <row r="151" spans="1:15" ht="15.75" outlineLevel="1" thickBot="1">
      <c r="M151" s="22">
        <f ca="1">MAX(($E$8*O148+$E$9*O154)/$C$11,M36-$C$6)</f>
        <v>0</v>
      </c>
    </row>
    <row r="152" spans="1:15" outlineLevel="1"/>
    <row r="153" spans="1:15" ht="15.75" outlineLevel="1" thickBot="1"/>
    <row r="154" spans="1:15" ht="15.75" outlineLevel="1" thickBot="1">
      <c r="O154" s="22">
        <f ca="1">MAX(O39-$C$6,0)</f>
        <v>0</v>
      </c>
    </row>
    <row r="155" spans="1:15" outlineLevel="1"/>
    <row r="157" spans="1:15">
      <c r="A157" t="s">
        <v>9</v>
      </c>
    </row>
    <row r="158" spans="1:15" outlineLevel="1"/>
    <row r="159" spans="1:15" outlineLevel="1">
      <c r="O159" s="1">
        <v>5</v>
      </c>
    </row>
    <row r="160" spans="1:15" outlineLevel="1"/>
    <row r="161" spans="5:15" ht="15.75" outlineLevel="1" thickBot="1">
      <c r="N161" s="23"/>
    </row>
    <row r="162" spans="5:15" ht="15.75" outlineLevel="1" thickBot="1">
      <c r="M162" s="1">
        <v>4</v>
      </c>
      <c r="O162" s="22">
        <f ca="1">MAX($C$6-O9,0)</f>
        <v>0</v>
      </c>
    </row>
    <row r="163" spans="5:15" ht="15.75" outlineLevel="1" thickBot="1"/>
    <row r="164" spans="5:15" ht="15.75" outlineLevel="1" thickBot="1">
      <c r="M164" s="24">
        <f ca="1">(O162-O168)/(O9-O15)</f>
        <v>0</v>
      </c>
    </row>
    <row r="165" spans="5:15" ht="15.75" outlineLevel="1" thickBot="1">
      <c r="K165" s="1">
        <v>3</v>
      </c>
      <c r="M165" s="22">
        <f ca="1">MAX(($E$8*O162+$E$9*O168)/$C$11,$C$6-M12)</f>
        <v>0</v>
      </c>
    </row>
    <row r="166" spans="5:15" ht="15.75" outlineLevel="1" thickBot="1"/>
    <row r="167" spans="5:15" ht="15.75" outlineLevel="1" thickBot="1">
      <c r="K167" s="24">
        <f ca="1">(M165-M171)/(M12-M18)</f>
        <v>0</v>
      </c>
    </row>
    <row r="168" spans="5:15" ht="15.75" outlineLevel="1" thickBot="1">
      <c r="I168" s="1">
        <v>2</v>
      </c>
      <c r="K168" s="22">
        <f ca="1">MAX(($E$8*M165+$E$9*M171)/$C$11,$C$6-K15)</f>
        <v>0</v>
      </c>
      <c r="O168" s="22">
        <f ca="1">MAX($C$6-O15,0)</f>
        <v>0</v>
      </c>
    </row>
    <row r="169" spans="5:15" ht="15.75" outlineLevel="1" thickBot="1">
      <c r="K169" s="25">
        <f ca="1">(M164-M170)/(M12-M18)</f>
        <v>0</v>
      </c>
    </row>
    <row r="170" spans="5:15" ht="15.75" outlineLevel="1" thickBot="1">
      <c r="I170" s="24">
        <f ca="1">(K168-K174)/(K15-K21)</f>
        <v>-0.1574968043812702</v>
      </c>
      <c r="M170" s="24">
        <f ca="1">(O168-O174)/(O15-O21)</f>
        <v>0</v>
      </c>
    </row>
    <row r="171" spans="5:15" ht="15.75" outlineLevel="1" thickBot="1">
      <c r="G171" s="1">
        <v>1</v>
      </c>
      <c r="I171" s="22">
        <f ca="1">MAX(($E$8*K168+$E$9*K174)/$C$11,$C$6-I18)</f>
        <v>3.7424004379756797</v>
      </c>
      <c r="M171" s="22">
        <f ca="1">MAX(($E$8*O168+$E$9*O174)/$C$11,$C$6-M18)</f>
        <v>0</v>
      </c>
    </row>
    <row r="172" spans="5:15" ht="15.75" outlineLevel="1" thickBot="1">
      <c r="I172" s="25">
        <f ca="1">(K167-K173)/(K15-K21)</f>
        <v>6.8371838054406006E-3</v>
      </c>
    </row>
    <row r="173" spans="5:15" ht="15.75" outlineLevel="1" thickBot="1">
      <c r="G173" s="24">
        <f ca="1">(I171-I177)/(I18-I24)</f>
        <v>-0.35922400141896837</v>
      </c>
      <c r="K173" s="24">
        <f ca="1">(M171-M177)/(M18-M24)</f>
        <v>-0.33435805299107674</v>
      </c>
    </row>
    <row r="174" spans="5:15" ht="15.75" outlineLevel="1" thickBot="1">
      <c r="E174" s="1">
        <v>0</v>
      </c>
      <c r="G174" s="22">
        <f ca="1">MAX(($E$8*I171+$E$9*I177)/$C$11,$C$6-G21)</f>
        <v>12.010756180252327</v>
      </c>
      <c r="K174" s="22">
        <f ca="1">MAX(($E$8*M171+$E$9*M177)/$C$11,$C$6-K21)</f>
        <v>7.7020490254092948</v>
      </c>
      <c r="O174" s="22">
        <f ca="1">MAX($C$6-O21,0)</f>
        <v>0</v>
      </c>
    </row>
    <row r="175" spans="5:15" ht="15.75" outlineLevel="1" thickBot="1">
      <c r="G175" s="25">
        <f ca="1">(I170-I176)/(I18-I24)</f>
        <v>9.0364937351979386E-3</v>
      </c>
      <c r="K175" s="25">
        <f ca="1">(M170-M176)/(M18-M24)</f>
        <v>1.4972741076842872E-2</v>
      </c>
    </row>
    <row r="176" spans="5:15" ht="15.75" outlineLevel="1" thickBot="1">
      <c r="E176" s="24">
        <f ca="1">(G174-G180)/(G21-G27)</f>
        <v>-0.54729719517535524</v>
      </c>
      <c r="I176" s="24">
        <f ca="1">(K174-K180)/(K21-K27)</f>
        <v>-0.58589779490077909</v>
      </c>
      <c r="M176" s="24">
        <f ca="1">(O174-O180)/(O21-O27)</f>
        <v>-0.7098258789387748</v>
      </c>
    </row>
    <row r="177" spans="4:15" ht="15.75" outlineLevel="1" thickBot="1">
      <c r="E177" s="22">
        <f ca="1">MAX(($E$8*G174+$E$9*G180)/$C$11,$C$6-E24)</f>
        <v>24.211690026083911</v>
      </c>
      <c r="I177" s="22">
        <f ca="1">MAX(($E$8*K174+$E$9*K180)/$C$11,$C$6-I24)</f>
        <v>20.772447991358575</v>
      </c>
      <c r="M177" s="22">
        <f ca="1">MAX(($E$8*O174+$E$9*O180)/$C$11,$C$6-M24)</f>
        <v>15.851205709535504</v>
      </c>
    </row>
    <row r="178" spans="4:15" ht="15.75" outlineLevel="1" thickBot="1">
      <c r="E178" s="25">
        <f ca="1">(G173-G179)/(G21-G27)</f>
        <v>8.6947572976549137E-3</v>
      </c>
      <c r="I178" s="25">
        <f ca="1">(K173-K179)/(K21-K27)</f>
        <v>1.162595527676938E-2</v>
      </c>
    </row>
    <row r="179" spans="4:15" ht="15.75" outlineLevel="1" thickBot="1">
      <c r="G179" s="24">
        <f ca="1">(I177-I183)/(I24-I30)</f>
        <v>-0.75882260359782805</v>
      </c>
      <c r="K179" s="24">
        <f ca="1">(M177-M183)/(M24-M30)</f>
        <v>-0.86867031940062789</v>
      </c>
    </row>
    <row r="180" spans="4:15" ht="15.75" outlineLevel="1" thickBot="1">
      <c r="G180" s="22">
        <f ca="1">MAX(($E$8*I177+$E$9*I183)/$C$11,$C$6-G27)</f>
        <v>37.163752023789954</v>
      </c>
      <c r="K180" s="22">
        <f ca="1">MAX(($E$8*M177+$E$9*M183)/$C$11,$C$6-K27)</f>
        <v>34.629073190324597</v>
      </c>
      <c r="O180" s="22">
        <f ca="1">MAX($C$6-O27,0)</f>
        <v>32.622581551622716</v>
      </c>
    </row>
    <row r="181" spans="4:15" ht="15.75" outlineLevel="1" thickBot="1">
      <c r="D181" s="23" t="s">
        <v>1</v>
      </c>
      <c r="E181" s="27">
        <f ca="1">(I177-E177)/(2*$E$11)</f>
        <v>-40.727866200694763</v>
      </c>
      <c r="G181" s="25">
        <f ca="1">(I176-I182)/(I24-I30)</f>
        <v>8.2517864010942348E-3</v>
      </c>
      <c r="K181" s="25">
        <f ca="1">(M176-M182)/(M24-M30)</f>
        <v>6.5129268272126287E-3</v>
      </c>
    </row>
    <row r="182" spans="4:15" ht="15.75" outlineLevel="1" thickBot="1">
      <c r="D182" s="23" t="s">
        <v>2</v>
      </c>
      <c r="E182" s="28">
        <f ca="1">E181/365</f>
        <v>-0.11158319507039662</v>
      </c>
      <c r="I182" s="24">
        <f ca="1">(K180-K186)/(K27-K33)</f>
        <v>-0.9535443123033478</v>
      </c>
      <c r="M182" s="24">
        <f ca="1">(O180-O186)/(O27-O33)</f>
        <v>-1</v>
      </c>
    </row>
    <row r="183" spans="4:15" ht="15.75" outlineLevel="1" thickBot="1">
      <c r="I183" s="22">
        <f ca="1">MAX(($E$8*K180+$E$9*K186)/$C$11,$C$6-I30)</f>
        <v>54.580701620184598</v>
      </c>
      <c r="M183" s="22">
        <f ca="1">MAX(($E$8*O180+$E$9*O186)/$C$11,$C$6-M30)</f>
        <v>54.553566892353956</v>
      </c>
    </row>
    <row r="184" spans="4:15" ht="15.75" outlineLevel="1" thickBot="1">
      <c r="I184" s="25">
        <f ca="1">(K179-K185)/(K27-K33)</f>
        <v>3.0406359585794045E-3</v>
      </c>
    </row>
    <row r="185" spans="4:15" ht="15.75" outlineLevel="1" thickBot="1">
      <c r="K185" s="24">
        <f ca="1">(M183-M189)/(M30-M36)</f>
        <v>-1</v>
      </c>
    </row>
    <row r="186" spans="4:15" ht="15.75" outlineLevel="1" thickBot="1">
      <c r="K186" s="22">
        <f ca="1">MAX(($E$8*M183+$E$9*M189)/$C$11,$C$6-K33)</f>
        <v>75.814098848790422</v>
      </c>
      <c r="O186" s="22">
        <f ca="1">MAX($C$6-O33,0)</f>
        <v>75.814098848790422</v>
      </c>
    </row>
    <row r="187" spans="4:15" ht="15.75" outlineLevel="1" thickBot="1">
      <c r="K187" s="25">
        <f ca="1">(M182-M188)/(M30-M36)</f>
        <v>0</v>
      </c>
    </row>
    <row r="188" spans="4:15" ht="15.75" outlineLevel="1" thickBot="1">
      <c r="M188" s="24">
        <f ca="1">(O186-O192)/(O33-O39)</f>
        <v>-1</v>
      </c>
    </row>
    <row r="189" spans="4:15" ht="15.75" outlineLevel="1" thickBot="1">
      <c r="M189" s="22">
        <f ca="1">MAX(($E$8*O186+$E$9*O192)/$C$11,$C$6-M36)</f>
        <v>96.424673888989787</v>
      </c>
    </row>
    <row r="190" spans="4:15" outlineLevel="1"/>
    <row r="191" spans="4:15" ht="15.75" outlineLevel="1" thickBot="1"/>
    <row r="192" spans="4:15" ht="15.75" outlineLevel="1" thickBot="1">
      <c r="O192" s="22">
        <f ca="1">MAX($C$6-O39,0)</f>
        <v>116.40516188233414</v>
      </c>
    </row>
    <row r="193" outlineLevel="1"/>
    <row r="194" outlineLevel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B474-230F-4FDD-8678-852E4E439409}">
  <dimension ref="B3:N122"/>
  <sheetViews>
    <sheetView showGridLines="0" zoomScale="130" zoomScaleNormal="130" workbookViewId="0">
      <selection activeCell="E9" sqref="E9"/>
    </sheetView>
  </sheetViews>
  <sheetFormatPr defaultRowHeight="15" outlineLevelRow="1"/>
  <cols>
    <col min="2" max="2" width="21.85546875" customWidth="1"/>
    <col min="3" max="3" width="11.140625" customWidth="1"/>
    <col min="4" max="4" width="11.28515625" customWidth="1"/>
    <col min="5" max="5" width="14.28515625" customWidth="1"/>
    <col min="6" max="6" width="12" customWidth="1"/>
    <col min="7" max="7" width="25.28515625" bestFit="1" customWidth="1"/>
    <col min="8" max="8" width="12.7109375" customWidth="1"/>
    <col min="9" max="9" width="12.140625" bestFit="1" customWidth="1"/>
    <col min="10" max="10" width="28" customWidth="1"/>
    <col min="11" max="11" width="14.42578125" customWidth="1"/>
    <col min="12" max="12" width="11" customWidth="1"/>
  </cols>
  <sheetData>
    <row r="3" spans="2:12" ht="15.75" thickBot="1"/>
    <row r="4" spans="2:12" ht="15.75" thickBot="1">
      <c r="B4" s="46" t="s">
        <v>12</v>
      </c>
      <c r="C4" s="113">
        <v>740</v>
      </c>
      <c r="G4" s="87" t="s">
        <v>84</v>
      </c>
      <c r="H4" s="88" t="s">
        <v>0</v>
      </c>
      <c r="I4" s="89" t="s">
        <v>7</v>
      </c>
      <c r="K4" s="109" t="s">
        <v>85</v>
      </c>
      <c r="L4" s="109" t="s">
        <v>90</v>
      </c>
    </row>
    <row r="5" spans="2:12">
      <c r="B5" s="47" t="s">
        <v>13</v>
      </c>
      <c r="C5" s="113">
        <v>750</v>
      </c>
      <c r="G5" s="90" t="s">
        <v>79</v>
      </c>
      <c r="H5" s="91">
        <f ca="1">H36</f>
        <v>18.054355928411496</v>
      </c>
      <c r="I5" s="91">
        <f ca="1">K36</f>
        <v>23.170263296357064</v>
      </c>
      <c r="K5" s="106" t="s">
        <v>86</v>
      </c>
      <c r="L5" s="103" t="str">
        <f>IF(C4&gt;0,"GOOD","ERROR")</f>
        <v>GOOD</v>
      </c>
    </row>
    <row r="6" spans="2:12">
      <c r="B6" s="47" t="s">
        <v>14</v>
      </c>
      <c r="C6" s="114">
        <v>46319</v>
      </c>
      <c r="G6" s="92" t="s">
        <v>78</v>
      </c>
      <c r="H6" s="93">
        <f ca="1">H37</f>
        <v>1805.4355928411496</v>
      </c>
      <c r="I6" s="93">
        <f ca="1">K37</f>
        <v>2317.0263296357061</v>
      </c>
      <c r="K6" s="107" t="s">
        <v>87</v>
      </c>
      <c r="L6" s="104" t="str">
        <f>IF(C8&gt;0,"GOOD","ERROR")</f>
        <v>GOOD</v>
      </c>
    </row>
    <row r="7" spans="2:12">
      <c r="B7" s="47" t="s">
        <v>11</v>
      </c>
      <c r="C7" s="115">
        <v>4.1099999999999998E-2</v>
      </c>
      <c r="G7" s="92" t="s">
        <v>80</v>
      </c>
      <c r="H7" s="94">
        <f ca="1">H45</f>
        <v>768.0543559284115</v>
      </c>
      <c r="I7" s="94">
        <f ca="1">K45</f>
        <v>726.82973670364299</v>
      </c>
      <c r="K7" s="107" t="s">
        <v>88</v>
      </c>
      <c r="L7" s="104" t="str">
        <f ca="1">IF(C6&gt;C10,"GOOD","ERROR")</f>
        <v>GOOD</v>
      </c>
    </row>
    <row r="8" spans="2:12" ht="15.75" thickBot="1">
      <c r="B8" s="47" t="s">
        <v>15</v>
      </c>
      <c r="C8" s="115">
        <v>0.15110000000000001</v>
      </c>
      <c r="G8" s="95" t="s">
        <v>81</v>
      </c>
      <c r="H8" s="96" t="str">
        <f>IF($C$4&gt;$C$5,"ITM",IF($C$4=$C$5,"ATM","OTM"))</f>
        <v>OTM</v>
      </c>
      <c r="I8" s="96" t="str">
        <f>IF($C$4&lt;$C$5,"ITM",IF($C$4=$C$5,"ATM","OTM"))</f>
        <v>ITM</v>
      </c>
      <c r="J8" s="112">
        <f>C4/C5</f>
        <v>0.98666666666666669</v>
      </c>
      <c r="K8" s="108" t="s">
        <v>89</v>
      </c>
      <c r="L8" s="105" t="str">
        <f ca="1">IF((H48-K48)&lt;0.00001,"GOOD","ERROR")</f>
        <v>GOOD</v>
      </c>
    </row>
    <row r="9" spans="2:12" ht="15.75" thickBot="1">
      <c r="B9" s="47" t="s">
        <v>16</v>
      </c>
      <c r="C9" s="115">
        <v>1.0200000000000001E-2</v>
      </c>
    </row>
    <row r="10" spans="2:12">
      <c r="B10" s="47" t="s">
        <v>17</v>
      </c>
      <c r="C10" s="125">
        <f ca="1">TODAY()</f>
        <v>46242</v>
      </c>
      <c r="G10" s="97" t="str">
        <f>B56</f>
        <v>Delta</v>
      </c>
      <c r="H10" s="102">
        <f t="shared" ref="H10:I10" ca="1" si="0">C56</f>
        <v>0.47315310447761699</v>
      </c>
      <c r="I10" s="102">
        <f t="shared" ca="1" si="0"/>
        <v>-0.52469742812119569</v>
      </c>
      <c r="K10" s="72" t="s">
        <v>91</v>
      </c>
    </row>
    <row r="11" spans="2:12">
      <c r="B11" s="47" t="s">
        <v>73</v>
      </c>
      <c r="C11" s="126">
        <f ca="1">_xlfn.DAYS(C6,C10)</f>
        <v>77</v>
      </c>
      <c r="G11" s="98" t="str">
        <f>B57</f>
        <v>Gamma</v>
      </c>
      <c r="H11" s="99">
        <f t="shared" ref="H11" ca="1" si="1">C57</f>
        <v>7.7351553069633901E-3</v>
      </c>
      <c r="I11" s="99">
        <f t="shared" ref="I11" ca="1" si="2">D57</f>
        <v>7.7351553069633901E-3</v>
      </c>
      <c r="K11" s="110" t="s">
        <v>92</v>
      </c>
    </row>
    <row r="12" spans="2:12">
      <c r="B12" s="48" t="s">
        <v>20</v>
      </c>
      <c r="C12" s="124">
        <v>100</v>
      </c>
      <c r="G12" s="98" t="s">
        <v>82</v>
      </c>
      <c r="H12" s="99">
        <f ca="1">C59</f>
        <v>-0.16008486024921564</v>
      </c>
      <c r="I12" s="99">
        <f ca="1">D59</f>
        <v>-9.6996876492429329E-2</v>
      </c>
      <c r="K12" s="110" t="s">
        <v>93</v>
      </c>
    </row>
    <row r="13" spans="2:12">
      <c r="G13" s="98" t="str">
        <f t="shared" ref="G13:G14" si="3">B60</f>
        <v>Vega</v>
      </c>
      <c r="H13" s="99">
        <f ca="1">C60/100</f>
        <v>1.3501897367117808</v>
      </c>
      <c r="I13" s="99">
        <f ca="1">D60/100</f>
        <v>1.3501897367117808</v>
      </c>
      <c r="J13" t="s">
        <v>66</v>
      </c>
      <c r="K13" s="110" t="s">
        <v>94</v>
      </c>
    </row>
    <row r="14" spans="2:12" ht="15.75" thickBot="1">
      <c r="G14" s="100" t="str">
        <f t="shared" si="3"/>
        <v>Rho</v>
      </c>
      <c r="H14" s="101">
        <f ca="1">C61/100</f>
        <v>0.70055009552457348</v>
      </c>
      <c r="I14" s="101">
        <f ca="1">D61/100</f>
        <v>-0.8679827322784992</v>
      </c>
      <c r="J14" t="s">
        <v>66</v>
      </c>
    </row>
    <row r="15" spans="2:12">
      <c r="G15" s="71" t="s">
        <v>83</v>
      </c>
    </row>
    <row r="16" spans="2:12">
      <c r="G16" s="71"/>
    </row>
    <row r="17" spans="7:7">
      <c r="G17" s="71"/>
    </row>
    <row r="18" spans="7:7">
      <c r="G18" s="71"/>
    </row>
    <row r="19" spans="7:7">
      <c r="G19" s="71"/>
    </row>
    <row r="20" spans="7:7">
      <c r="G20" s="71"/>
    </row>
    <row r="21" spans="7:7">
      <c r="G21" s="71"/>
    </row>
    <row r="22" spans="7:7">
      <c r="G22" s="71"/>
    </row>
    <row r="23" spans="7:7">
      <c r="G23" s="71"/>
    </row>
    <row r="24" spans="7:7">
      <c r="G24" s="71"/>
    </row>
    <row r="25" spans="7:7">
      <c r="G25" s="71"/>
    </row>
    <row r="26" spans="7:7">
      <c r="G26" s="71"/>
    </row>
    <row r="27" spans="7:7">
      <c r="G27" s="71"/>
    </row>
    <row r="28" spans="7:7">
      <c r="G28" s="71"/>
    </row>
    <row r="29" spans="7:7">
      <c r="G29" s="71"/>
    </row>
    <row r="30" spans="7:7">
      <c r="G30" s="71"/>
    </row>
    <row r="31" spans="7:7">
      <c r="G31" s="71"/>
    </row>
    <row r="32" spans="7:7">
      <c r="G32" s="71"/>
    </row>
    <row r="33" spans="2:14" ht="24">
      <c r="B33" s="53"/>
    </row>
    <row r="34" spans="2:14" outlineLevel="1"/>
    <row r="35" spans="2:14" outlineLevel="1"/>
    <row r="36" spans="2:14" ht="14.25" customHeight="1" outlineLevel="1">
      <c r="B36" s="136" t="e" vm="16">
        <v>#VALUE!</v>
      </c>
      <c r="C36" s="45">
        <f>C4/C5</f>
        <v>0.98666666666666669</v>
      </c>
      <c r="G36" s="61" t="s">
        <v>18</v>
      </c>
      <c r="H36" s="57">
        <f ca="1">($C$4*EXP(-$C$9*$C$38)*$C$45)-($C$5*$C$42*$C$46)</f>
        <v>18.054355928411496</v>
      </c>
      <c r="J36" s="61" t="s">
        <v>19</v>
      </c>
      <c r="K36" s="57">
        <f ca="1">-($C$4*EXP(-$C$9*$C$38)*$C$47)+($C$5*$C$42*$C$48)</f>
        <v>23.170263296357064</v>
      </c>
      <c r="N36" s="43"/>
    </row>
    <row r="37" spans="2:14" outlineLevel="1">
      <c r="B37" s="137" t="e" vm="17">
        <v>#VALUE!</v>
      </c>
      <c r="C37" s="45">
        <f>LN(C36)</f>
        <v>-1.3423020332140661E-2</v>
      </c>
      <c r="G37" s="55" t="s">
        <v>21</v>
      </c>
      <c r="H37" s="58">
        <f ca="1">H36*$C$12</f>
        <v>1805.4355928411496</v>
      </c>
      <c r="J37" s="55" t="s">
        <v>22</v>
      </c>
      <c r="K37" s="58">
        <f ca="1">K36*$C$12</f>
        <v>2317.0263296357061</v>
      </c>
      <c r="N37" s="43"/>
    </row>
    <row r="38" spans="2:14" outlineLevel="1">
      <c r="B38" s="137" t="e" vm="18">
        <v>#VALUE!</v>
      </c>
      <c r="C38" s="45">
        <f ca="1">C11/365</f>
        <v>0.21095890410958903</v>
      </c>
      <c r="N38" s="43"/>
    </row>
    <row r="39" spans="2:14" outlineLevel="1">
      <c r="B39" s="137" t="e" vm="19">
        <v>#VALUE!</v>
      </c>
      <c r="C39" s="45">
        <f ca="1">SQRT(C38)</f>
        <v>0.4593026280238216</v>
      </c>
      <c r="G39" s="54" t="s">
        <v>23</v>
      </c>
      <c r="H39" s="59">
        <f>MAX($C$4-$C$5,0)</f>
        <v>0</v>
      </c>
      <c r="J39" s="54" t="s">
        <v>24</v>
      </c>
      <c r="K39" s="59">
        <f>MAX($C$5-$C$4,0)</f>
        <v>10</v>
      </c>
      <c r="N39" s="43"/>
    </row>
    <row r="40" spans="2:14" outlineLevel="1">
      <c r="B40" s="137" t="e" vm="20">
        <v>#VALUE!</v>
      </c>
      <c r="C40" s="45">
        <f ca="1">C39*C8</f>
        <v>6.9400627094399453E-2</v>
      </c>
      <c r="G40" s="55" t="s">
        <v>25</v>
      </c>
      <c r="H40" s="59">
        <f ca="1">H36-H39</f>
        <v>18.054355928411496</v>
      </c>
      <c r="J40" s="55" t="s">
        <v>26</v>
      </c>
      <c r="K40" s="59">
        <f ca="1">K36-K39</f>
        <v>13.170263296357064</v>
      </c>
      <c r="N40" s="43"/>
    </row>
    <row r="41" spans="2:14" outlineLevel="1">
      <c r="B41" s="137" t="e" vm="21">
        <v>#VALUE!</v>
      </c>
      <c r="C41" s="45">
        <f ca="1">C38*C7</f>
        <v>8.6704109589041088E-3</v>
      </c>
      <c r="H41" s="27"/>
      <c r="K41" s="42"/>
      <c r="N41" s="43"/>
    </row>
    <row r="42" spans="2:14" outlineLevel="1">
      <c r="B42" s="137" t="e" vm="22">
        <v>#VALUE!</v>
      </c>
      <c r="C42" s="45">
        <f ca="1">EXP(-C41)</f>
        <v>0.99136706865475588</v>
      </c>
      <c r="G42" s="63" t="s">
        <v>27</v>
      </c>
      <c r="H42" s="64"/>
      <c r="I42" s="64"/>
      <c r="J42" s="64"/>
      <c r="K42" s="64"/>
    </row>
    <row r="43" spans="2:14" outlineLevel="1">
      <c r="B43" s="137" t="e" vm="23">
        <v>#VALUE!</v>
      </c>
      <c r="C43" s="45">
        <f ca="1">($C$37+($C$7-$C$9+(($C$8^2)/2))*$C$38)/$C$40</f>
        <v>-6.4785677923207857E-2</v>
      </c>
    </row>
    <row r="44" spans="2:14" outlineLevel="1">
      <c r="B44" s="137" t="e" vm="24">
        <v>#VALUE!</v>
      </c>
      <c r="C44" s="45">
        <f ca="1">C43-C40</f>
        <v>-0.13418630501760731</v>
      </c>
      <c r="G44" s="61" t="s">
        <v>31</v>
      </c>
      <c r="H44" s="60">
        <f ca="1">$C$46</f>
        <v>0.44662762749172547</v>
      </c>
      <c r="J44" s="61" t="s">
        <v>28</v>
      </c>
      <c r="K44" s="60">
        <f ca="1">$C$48</f>
        <v>0.55337237250827453</v>
      </c>
    </row>
    <row r="45" spans="2:14" outlineLevel="1">
      <c r="B45" s="137" t="e" vm="25">
        <v>#VALUE!</v>
      </c>
      <c r="C45" s="45">
        <f ca="1">_xlfn.NORM.S.DIST(C43,TRUE)</f>
        <v>0.47417232242721957</v>
      </c>
      <c r="G45" s="56" t="s">
        <v>29</v>
      </c>
      <c r="H45" s="65">
        <f ca="1">$H$36+$C$5</f>
        <v>768.0543559284115</v>
      </c>
      <c r="J45" s="56" t="s">
        <v>29</v>
      </c>
      <c r="K45" s="65">
        <f ca="1">$C$5-$K$36</f>
        <v>726.82973670364299</v>
      </c>
    </row>
    <row r="46" spans="2:14" outlineLevel="1">
      <c r="B46" s="137" t="e" vm="26">
        <v>#VALUE!</v>
      </c>
      <c r="C46" s="45">
        <f ca="1">_xlfn.NORM.S.DIST(C44,TRUE)</f>
        <v>0.44662762749172547</v>
      </c>
      <c r="G46" s="62" t="s">
        <v>30</v>
      </c>
      <c r="H46" s="60">
        <f ca="1">_xlfn.NORM.S.DIST((LN($C$4/$H$45)+($C$7-$C$9-(($C$8^2)/2))*$C$38)/$C$40,TRUE)</f>
        <v>0.31670253304659313</v>
      </c>
      <c r="J46" s="62" t="s">
        <v>30</v>
      </c>
      <c r="K46" s="60">
        <f ca="1">IF(K45&lt;=0,0,_xlfn.NORM.S.DIST(-(LN($C$4/$K$45)+($C$7-$C$9-(($C$8^2)/2))*$C$38)/$C$40,TRUE))</f>
        <v>0.37524824411454227</v>
      </c>
    </row>
    <row r="47" spans="2:14" outlineLevel="1">
      <c r="B47" s="137" t="e" vm="27">
        <v>#VALUE!</v>
      </c>
      <c r="C47" s="45">
        <f ca="1">_xlfn.NORM.S.DIST(-C43,TRUE)</f>
        <v>0.52582767757278037</v>
      </c>
    </row>
    <row r="48" spans="2:14" outlineLevel="1">
      <c r="B48" s="137" t="e" vm="28">
        <v>#VALUE!</v>
      </c>
      <c r="C48" s="45">
        <f ca="1">_xlfn.NORM.S.DIST(-C44,TRUE)</f>
        <v>0.55337237250827453</v>
      </c>
      <c r="G48" s="85" t="s">
        <v>68</v>
      </c>
      <c r="H48" s="170">
        <f ca="1">H36+C5*C42</f>
        <v>761.57965741947839</v>
      </c>
      <c r="I48" s="1"/>
      <c r="J48" s="85" t="s">
        <v>68</v>
      </c>
      <c r="K48" s="169">
        <f ca="1">K36+C4*EXP(-C9*C38)</f>
        <v>761.57965741947851</v>
      </c>
    </row>
    <row r="49" spans="2:13" outlineLevel="1">
      <c r="B49" s="137" t="e" vm="29">
        <v>#VALUE!</v>
      </c>
      <c r="C49" s="45">
        <f ca="1">_xlfn.NORM.S.DIST(C43,FALSE)</f>
        <v>0.39810594118491099</v>
      </c>
      <c r="H49" s="168" t="str">
        <f ca="1">IF(($H$48-$K$48)&lt;0.0001,"YES","NO-CHECK ERROR")</f>
        <v>YES</v>
      </c>
      <c r="K49" s="168" t="str">
        <f ca="1">IF(($H$48-$K$48)&lt;0.0001,"YES","NO-CHECK ERROR")</f>
        <v>YES</v>
      </c>
    </row>
    <row r="50" spans="2:13" outlineLevel="1">
      <c r="B50" s="138" t="e" vm="30">
        <v>#VALUE!</v>
      </c>
      <c r="C50" s="45">
        <f ca="1">_xlfn.NORM.S.DIST(C44,FALSE)</f>
        <v>0.39536672960240477</v>
      </c>
    </row>
    <row r="51" spans="2:13" outlineLevel="1"/>
    <row r="52" spans="2:13" outlineLevel="1"/>
    <row r="53" spans="2:13" ht="18.75" outlineLevel="1">
      <c r="B53" s="86" t="s">
        <v>36</v>
      </c>
      <c r="C53" s="86"/>
      <c r="D53" s="86"/>
      <c r="G53" s="86" t="s">
        <v>75</v>
      </c>
      <c r="H53" s="86"/>
      <c r="I53" s="86"/>
      <c r="K53" s="86" t="s">
        <v>76</v>
      </c>
      <c r="L53" s="86"/>
      <c r="M53" s="86"/>
    </row>
    <row r="54" spans="2:13" outlineLevel="1"/>
    <row r="55" spans="2:13" outlineLevel="1">
      <c r="B55" s="51" t="s">
        <v>36</v>
      </c>
      <c r="C55" s="52" t="s">
        <v>0</v>
      </c>
      <c r="D55" s="52" t="s">
        <v>7</v>
      </c>
      <c r="G55" s="51"/>
      <c r="H55" s="52" t="s">
        <v>0</v>
      </c>
      <c r="I55" s="52" t="s">
        <v>7</v>
      </c>
      <c r="K55" s="67" t="s">
        <v>44</v>
      </c>
      <c r="L55" s="66"/>
      <c r="M55" s="68">
        <f ca="1">C56*($C$4/$H$36)</f>
        <v>19.393286512228567</v>
      </c>
    </row>
    <row r="56" spans="2:13" outlineLevel="1">
      <c r="B56" s="44" t="s">
        <v>4</v>
      </c>
      <c r="C56" s="49">
        <f ca="1">EXP(-$C$9*$C$38)*$C$45</f>
        <v>0.47315310447761699</v>
      </c>
      <c r="D56" s="49">
        <f ca="1">EXP(-$C$9*$C$38)*($C$45-1)</f>
        <v>-0.52469742812119569</v>
      </c>
      <c r="G56" s="44" t="s">
        <v>37</v>
      </c>
      <c r="H56" s="49">
        <f ca="1">-EXP($C$9*-$C$38)*$C$49*$C$44/$C$8</f>
        <v>0.35278318940760367</v>
      </c>
      <c r="I56" s="49">
        <f ca="1">-EXP($C$9*-$C$38)*$C$49*$C$44/$C$8</f>
        <v>0.35278318940760367</v>
      </c>
      <c r="J56" t="s">
        <v>66</v>
      </c>
      <c r="K56" s="67" t="s">
        <v>45</v>
      </c>
      <c r="L56" s="66"/>
      <c r="M56" s="68">
        <f ca="1">D56*($C$4/$K$36)</f>
        <v>-16.75751767873658</v>
      </c>
    </row>
    <row r="57" spans="2:13" outlineLevel="1">
      <c r="B57" s="44" t="s">
        <v>5</v>
      </c>
      <c r="C57" s="49">
        <f ca="1">(EXP(-$C$9*$C$38)*$C$49)/($C$4*$C$40)</f>
        <v>7.7351553069633901E-3</v>
      </c>
      <c r="D57" s="49">
        <f ca="1">(EXP(-$C$9*$C$38)*$C$49)/($C$4*$C$40)</f>
        <v>7.7351553069633901E-3</v>
      </c>
      <c r="G57" s="44" t="s">
        <v>38</v>
      </c>
      <c r="H57" s="49">
        <f ca="1">-EXP(-$C$9*$C$38)*($C$49*(($C$7-$C$9+0.5*$C$8^2)/$C$40-($C$43/(2*$C$38)))-$C$9*$C$45)/365</f>
        <v>-8.1749849860255903E-4</v>
      </c>
      <c r="I57" s="49">
        <f ca="1">-EXP(-$C$9*$C$38)*($C$49*(($C$7-$C$9+0.5*$C$8^2)/$C$40-($C$43/(2*$C$38)))+$C$9*$C$47)/365</f>
        <v>-8.4538363677381348E-4</v>
      </c>
      <c r="K57" s="67" t="s">
        <v>46</v>
      </c>
      <c r="L57" s="66"/>
      <c r="M57" s="68">
        <f ca="1">ABS(M55)</f>
        <v>19.393286512228567</v>
      </c>
    </row>
    <row r="58" spans="2:13" outlineLevel="1">
      <c r="B58" s="44" t="s">
        <v>6</v>
      </c>
      <c r="C58" s="50">
        <f ca="1">-($C$4*EXP(-$C$9*$C$38)*$C$49*$C$8)/(2*$C$39)+($C$9*$C$4*EXP(-$C$9*$C$38)*$C$45)-($C$7*$C$5*$C$42*$C$46)</f>
        <v>-58.430973990963714</v>
      </c>
      <c r="D58" s="50">
        <f ca="1">-($C$4*EXP(-$C$9*$C$38)*$C$49*$C$8)/(2*$C$39)-($C$9*$C$4*EXP(-$C$9*$C$38)*$C$47)+($C$7*$C$5*$C$42*$C$48)</f>
        <v>-35.403859919736703</v>
      </c>
      <c r="G58" s="44" t="s">
        <v>39</v>
      </c>
      <c r="H58" s="50">
        <f ca="1">-($C$57/$C$4)*(1+($C$43/$C$40))</f>
        <v>-6.9508968799438512E-7</v>
      </c>
      <c r="I58" s="50">
        <f ca="1">-($C$57/$C$4)*(1+($C$43/$C$40))</f>
        <v>-6.9508968799438512E-7</v>
      </c>
      <c r="K58" s="67" t="s">
        <v>47</v>
      </c>
      <c r="L58" s="66"/>
      <c r="M58" s="68">
        <f ca="1">ABS(M56)</f>
        <v>16.75751767873658</v>
      </c>
    </row>
    <row r="59" spans="2:13" outlineLevel="1">
      <c r="B59" s="44" t="s">
        <v>35</v>
      </c>
      <c r="C59" s="50">
        <f ca="1">C58/365</f>
        <v>-0.16008486024921564</v>
      </c>
      <c r="D59" s="50">
        <f ca="1">D58/365</f>
        <v>-9.6996876492429329E-2</v>
      </c>
      <c r="G59" s="44" t="s">
        <v>40</v>
      </c>
      <c r="H59" s="50">
        <f ca="1">$C$57*($C$9+(($C$43*($C$7-$C$9+(0.5*$C$8^2)))/$C$40)+((1-$C$43^2)/(2*$C$38)))/365</f>
        <v>4.9396495466133886E-5</v>
      </c>
      <c r="I59" s="50">
        <f ca="1">$C$57*($C$9+(($C$43*($C$7-$C$9+(0.5*$C$8^2)))/$C$40)+((1-$C$43^2)/(2*$C$38)))/365</f>
        <v>4.9396495466133886E-5</v>
      </c>
    </row>
    <row r="60" spans="2:13" outlineLevel="1">
      <c r="B60" s="44" t="s">
        <v>32</v>
      </c>
      <c r="C60" s="50">
        <f ca="1">$C$4*EXP(-$C$9*$C$38)*$C$49*$C$39</f>
        <v>135.01897367117809</v>
      </c>
      <c r="D60" s="50">
        <f ca="1">$C$4*EXP(-$C$9*$C$38)*$C$49*$C$39</f>
        <v>135.01897367117809</v>
      </c>
      <c r="E60" t="s">
        <v>66</v>
      </c>
      <c r="G60" s="44" t="s">
        <v>41</v>
      </c>
      <c r="H60" s="50">
        <f ca="1">C60*$C$43*$C$44/$C$8</f>
        <v>7.7681488715163107</v>
      </c>
      <c r="I60" s="50">
        <f ca="1">D60*$C$43*$C$44/$C$8</f>
        <v>7.7681488715163107</v>
      </c>
      <c r="J60" t="s">
        <v>66</v>
      </c>
    </row>
    <row r="61" spans="2:13" outlineLevel="1">
      <c r="B61" s="44" t="s">
        <v>33</v>
      </c>
      <c r="C61" s="50">
        <f ca="1">$C$38*$C$5*$C$42*$C$46</f>
        <v>70.055009552457349</v>
      </c>
      <c r="D61" s="50">
        <f ca="1">-$C$38*$C$5*$C$42*$C$48</f>
        <v>-86.798273227849918</v>
      </c>
      <c r="E61" t="s">
        <v>66</v>
      </c>
      <c r="G61" s="44" t="s">
        <v>42</v>
      </c>
      <c r="H61" s="50">
        <f ca="1">$C$57*(($C$43*$C$44-1)/$C$8)</f>
        <v>-5.0747259357131688E-2</v>
      </c>
      <c r="I61" s="50">
        <f ca="1">$C$57*(($C$43*$C$44-1)/$C$8)</f>
        <v>-5.0747259357131688E-2</v>
      </c>
      <c r="J61" t="s">
        <v>66</v>
      </c>
    </row>
    <row r="62" spans="2:13" outlineLevel="1">
      <c r="B62" s="44" t="s">
        <v>34</v>
      </c>
      <c r="C62" s="50">
        <f ca="1">-$C$38*$C$4*EXP($C$9*-$C$38)*$C$45</f>
        <v>-73.863736693519499</v>
      </c>
      <c r="D62" s="50">
        <f ca="1">$C$38*$C$4*EXP($C$9*-$C$38)*$C$47</f>
        <v>81.910299874919801</v>
      </c>
      <c r="E62" t="s">
        <v>66</v>
      </c>
      <c r="G62" s="44" t="s">
        <v>43</v>
      </c>
      <c r="H62" s="50">
        <f ca="1">$C$60*($C$9+(($C$43*($C$7-$C$9))/$C$40)-((1+$C$43*$C$44)/(2*$C$38)))/365</f>
        <v>-0.89126560013339606</v>
      </c>
      <c r="I62" s="50">
        <f ca="1">$C$60*($C$9+(($C$43*($C$7-$C$9))/$C$40)-((1+$C$43*$C$44)/(2*$C$38)))/365</f>
        <v>-0.89126560013339606</v>
      </c>
    </row>
    <row r="63" spans="2:13" outlineLevel="1">
      <c r="B63" s="72" t="s">
        <v>67</v>
      </c>
    </row>
    <row r="64" spans="2:13" outlineLevel="1"/>
    <row r="67" spans="2:9" outlineLevel="1"/>
    <row r="68" spans="2:9" outlineLevel="1">
      <c r="B68" s="46" t="s">
        <v>48</v>
      </c>
      <c r="C68" s="113">
        <v>760</v>
      </c>
      <c r="E68" s="77" t="s">
        <v>49</v>
      </c>
      <c r="F68" s="111">
        <f>$C$68-$C$4</f>
        <v>20</v>
      </c>
    </row>
    <row r="69" spans="2:9" outlineLevel="1">
      <c r="B69" s="47" t="s">
        <v>50</v>
      </c>
      <c r="C69" s="115">
        <v>0.185</v>
      </c>
      <c r="E69" s="78" t="s">
        <v>51</v>
      </c>
      <c r="F69" s="150">
        <f>$C$69-$C$8</f>
        <v>3.3899999999999986E-2</v>
      </c>
      <c r="G69" s="70"/>
    </row>
    <row r="70" spans="2:9" outlineLevel="1">
      <c r="B70" s="47" t="s">
        <v>53</v>
      </c>
      <c r="C70" s="115">
        <v>0.05</v>
      </c>
      <c r="E70" s="78" t="s">
        <v>54</v>
      </c>
      <c r="F70" s="150">
        <f>C70-$C$7</f>
        <v>8.9000000000000051E-3</v>
      </c>
    </row>
    <row r="71" spans="2:9" outlineLevel="1">
      <c r="B71" s="47" t="s">
        <v>55</v>
      </c>
      <c r="C71" s="115">
        <v>1.2500000000000001E-2</v>
      </c>
      <c r="E71" s="79" t="s">
        <v>56</v>
      </c>
      <c r="F71" s="150">
        <f>C71-C9</f>
        <v>2.3E-3</v>
      </c>
    </row>
    <row r="72" spans="2:9" outlineLevel="1">
      <c r="B72" s="48" t="s">
        <v>52</v>
      </c>
      <c r="C72" s="113">
        <v>5</v>
      </c>
    </row>
    <row r="73" spans="2:9" outlineLevel="1">
      <c r="C73" s="41"/>
      <c r="E73" s="73" t="s">
        <v>60</v>
      </c>
      <c r="F73" s="73"/>
      <c r="H73" s="73" t="s">
        <v>57</v>
      </c>
      <c r="I73" s="73"/>
    </row>
    <row r="74" spans="2:9" outlineLevel="1">
      <c r="B74" s="148" t="s">
        <v>61</v>
      </c>
      <c r="C74" s="111">
        <f ca="1">(C11-C72)/365</f>
        <v>0.19726027397260273</v>
      </c>
      <c r="E74" s="44" t="s">
        <v>18</v>
      </c>
      <c r="F74" s="65">
        <f ca="1">($C$68*EXP(-$C$71*$C$74)*$C$77-$C$5*EXP(-$C$70*$C$74)*$C$78)</f>
        <v>33.106360377320414</v>
      </c>
      <c r="H74" s="44" t="s">
        <v>58</v>
      </c>
      <c r="I74" s="65">
        <f ca="1">C56*$F$68+(0.5*C57*($F$68^2))+C60*$F$69+C59*$C$72+C61*$F$70+C62*$F$71</f>
        <v>15.24041504777365</v>
      </c>
    </row>
    <row r="75" spans="2:9" outlineLevel="1">
      <c r="B75" s="149" t="s">
        <v>62</v>
      </c>
      <c r="C75" s="111">
        <f ca="1">(LN($C$68/$C$5)+($C$70-$C$71+($C$69^2)/2)*C74)/(C69*SQRT(C74))</f>
        <v>0.29231235168961761</v>
      </c>
      <c r="E75" s="44" t="s">
        <v>19</v>
      </c>
      <c r="F75" s="65">
        <f ca="1">-($C$68*EXP(-$C$71*$C$74)*$C$79)+($C$5*EXP(-$C$70*$C$74)*$C$80)</f>
        <v>17.617124228464377</v>
      </c>
      <c r="H75" s="44" t="s">
        <v>59</v>
      </c>
      <c r="I75" s="65">
        <f ca="1">D56*$F$68+(0.5*D57*($F$68^2))+D60*$F$69+D59*$C$72+D61*$F$70+D62*$F$71</f>
        <v>-5.4388696180559961</v>
      </c>
    </row>
    <row r="76" spans="2:9" outlineLevel="1">
      <c r="B76" s="149" t="s">
        <v>63</v>
      </c>
      <c r="C76" s="111">
        <f ca="1">C75-(C69*SQRT(C74))</f>
        <v>0.21014646535768344</v>
      </c>
      <c r="E76" s="69" t="s">
        <v>64</v>
      </c>
      <c r="F76" s="69"/>
      <c r="H76" s="69" t="s">
        <v>65</v>
      </c>
      <c r="I76" s="69"/>
    </row>
    <row r="77" spans="2:9" outlineLevel="1">
      <c r="B77" s="137" t="e" vm="25">
        <v>#VALUE!</v>
      </c>
      <c r="C77" s="111">
        <f ca="1">_xlfn.NORM.S.DIST(C75,TRUE)</f>
        <v>0.61497609212345106</v>
      </c>
      <c r="E77" s="44" t="s">
        <v>58</v>
      </c>
      <c r="F77" s="65">
        <f ca="1">F74-H36</f>
        <v>15.052004448908917</v>
      </c>
      <c r="H77" s="44" t="s">
        <v>0</v>
      </c>
      <c r="I77" s="65">
        <f ca="1">I74-F77</f>
        <v>0.1884105988647331</v>
      </c>
    </row>
    <row r="78" spans="2:9" outlineLevel="1">
      <c r="B78" s="137" t="e" vm="26">
        <v>#VALUE!</v>
      </c>
      <c r="C78" s="111">
        <f ca="1">_xlfn.NORM.S.DIST(C76,TRUE)</f>
        <v>0.58322331951941997</v>
      </c>
      <c r="E78" s="44" t="s">
        <v>59</v>
      </c>
      <c r="F78" s="65">
        <f ca="1">F75-K36</f>
        <v>-5.5531390678926869</v>
      </c>
      <c r="H78" s="44" t="s">
        <v>7</v>
      </c>
      <c r="I78" s="65">
        <f ca="1">I75-F78</f>
        <v>0.11426944983669074</v>
      </c>
    </row>
    <row r="79" spans="2:9" outlineLevel="1">
      <c r="B79" s="137" t="e" vm="27">
        <v>#VALUE!</v>
      </c>
      <c r="C79" s="111">
        <f ca="1">_xlfn.NORM.S.DIST(C75*-1,TRUE)</f>
        <v>0.385023907876549</v>
      </c>
      <c r="E79" s="69" t="s">
        <v>69</v>
      </c>
      <c r="F79" s="69"/>
      <c r="H79" s="44" t="s">
        <v>70</v>
      </c>
      <c r="I79" s="75">
        <f ca="1">ABS(I77)/ABS(F77)</f>
        <v>1.2517309538690079E-2</v>
      </c>
    </row>
    <row r="80" spans="2:9" outlineLevel="1">
      <c r="B80" s="137" t="e" vm="28">
        <v>#VALUE!</v>
      </c>
      <c r="C80" s="111">
        <f ca="1">_xlfn.NORM.S.DIST(C76*-1,TRUE)</f>
        <v>0.41677668048058003</v>
      </c>
      <c r="E80" s="44" t="s">
        <v>0</v>
      </c>
      <c r="F80" s="65">
        <f ca="1">F74+C5*EXP(-C70*C74)</f>
        <v>775.74546010513609</v>
      </c>
      <c r="H80" s="44" t="s">
        <v>71</v>
      </c>
      <c r="I80" s="75">
        <f ca="1">ABS(I78)/ABS(F78)</f>
        <v>2.0577451498986838E-2</v>
      </c>
    </row>
    <row r="81" spans="2:13" outlineLevel="1">
      <c r="B81" s="137" t="e" vm="29">
        <v>#VALUE!</v>
      </c>
      <c r="C81" s="111">
        <f ca="1">_xlfn.NORM.S.DIST(C75,FALSE)</f>
        <v>0.38225712730619688</v>
      </c>
      <c r="E81" s="44" t="s">
        <v>7</v>
      </c>
      <c r="F81" s="65">
        <f ca="1">F75+C68*EXP(-C71*C74)</f>
        <v>775.74546010513598</v>
      </c>
    </row>
    <row r="82" spans="2:13" outlineLevel="1">
      <c r="B82" s="138" t="e" vm="30">
        <v>#VALUE!</v>
      </c>
      <c r="C82" s="111">
        <f ca="1">_xlfn.NORM.S.DIST(C76,FALSE)</f>
        <v>0.39022987061664077</v>
      </c>
      <c r="E82" s="44" t="s">
        <v>77</v>
      </c>
      <c r="F82" s="74" t="str">
        <f ca="1">IF(F80=F81,"YES","NO")</f>
        <v>YES</v>
      </c>
    </row>
    <row r="83" spans="2:13" outlineLevel="1"/>
    <row r="84" spans="2:13" outlineLevel="1"/>
    <row r="88" spans="2:13">
      <c r="B88" s="51" t="s">
        <v>72</v>
      </c>
      <c r="C88" s="52" t="s">
        <v>18</v>
      </c>
      <c r="D88" s="52" t="s">
        <v>19</v>
      </c>
      <c r="G88" s="51" t="s">
        <v>15</v>
      </c>
      <c r="H88" s="52" t="s">
        <v>18</v>
      </c>
      <c r="I88" s="52" t="s">
        <v>19</v>
      </c>
      <c r="K88" s="51" t="s">
        <v>74</v>
      </c>
      <c r="L88" s="52" t="s">
        <v>18</v>
      </c>
      <c r="M88" s="52" t="s">
        <v>19</v>
      </c>
    </row>
    <row r="89" spans="2:13">
      <c r="B89" s="30"/>
      <c r="C89" s="76">
        <f ca="1">$H$36</f>
        <v>18.054355928411496</v>
      </c>
      <c r="D89" s="76">
        <f ca="1">$K$36</f>
        <v>23.170263296357064</v>
      </c>
      <c r="H89" s="76">
        <f ca="1">$H$36</f>
        <v>18.054355928411496</v>
      </c>
      <c r="I89" s="76">
        <f ca="1">$K$36</f>
        <v>23.170263296357064</v>
      </c>
      <c r="L89" s="76">
        <f ca="1">$H$36</f>
        <v>18.054355928411496</v>
      </c>
      <c r="M89" s="76">
        <f ca="1">$K$36</f>
        <v>23.170263296357064</v>
      </c>
    </row>
    <row r="90" spans="2:13">
      <c r="B90" s="81">
        <v>680</v>
      </c>
      <c r="C90" s="80">
        <f t="dataTable" ref="C90:D122" dt2D="0" dtr="0" r1="C4" ca="1"/>
        <v>2.1593912728693141</v>
      </c>
      <c r="D90" s="80">
        <v>67.14633059674361</v>
      </c>
      <c r="G90" s="82">
        <v>0.05</v>
      </c>
      <c r="H90" s="80">
        <f t="dataTable" ref="H90:I122" dt2D="0" dtr="0" r1="C8" ca="1"/>
        <v>4.5349556155846926</v>
      </c>
      <c r="I90" s="80">
        <v>9.65086298353026</v>
      </c>
      <c r="K90" s="84">
        <f ca="1">TODAY()</f>
        <v>46242</v>
      </c>
      <c r="L90" s="44">
        <f t="dataTable" ref="L90:M122" dt2D="0" dtr="0" r1="C10" ca="1"/>
        <v>18.054355928411496</v>
      </c>
      <c r="M90" s="44">
        <v>23.170263296357064</v>
      </c>
    </row>
    <row r="91" spans="2:13">
      <c r="B91" s="81">
        <f>B90+5</f>
        <v>685</v>
      </c>
      <c r="C91" s="80">
        <v>2.7051786906821178</v>
      </c>
      <c r="D91" s="80">
        <v>62.702865351562309</v>
      </c>
      <c r="G91" s="83">
        <f>G90+0.01</f>
        <v>6.0000000000000005E-2</v>
      </c>
      <c r="H91" s="80">
        <v>5.8423837235037013</v>
      </c>
      <c r="I91" s="80">
        <v>10.958291091449155</v>
      </c>
      <c r="K91" s="84">
        <f ca="1">K90+2</f>
        <v>46244</v>
      </c>
      <c r="L91" s="44">
        <v>17.732540161957672</v>
      </c>
      <c r="M91" s="44">
        <v>22.974641200387111</v>
      </c>
    </row>
    <row r="92" spans="2:13">
      <c r="B92" s="81">
        <f t="shared" ref="B92:B122" si="4">B91+5</f>
        <v>690</v>
      </c>
      <c r="C92" s="80">
        <v>3.3556271016787633</v>
      </c>
      <c r="D92" s="80">
        <v>58.364061099564765</v>
      </c>
      <c r="G92" s="83">
        <f t="shared" ref="G92:G122" si="5">G91+0.01</f>
        <v>7.0000000000000007E-2</v>
      </c>
      <c r="H92" s="80">
        <v>7.1639079876092069</v>
      </c>
      <c r="I92" s="80">
        <v>12.279815355554774</v>
      </c>
      <c r="K92" s="84">
        <f t="shared" ref="K92:K122" ca="1" si="6">K91+2</f>
        <v>46246</v>
      </c>
      <c r="L92" s="44">
        <v>17.407347903312257</v>
      </c>
      <c r="M92" s="44">
        <v>22.775678023743296</v>
      </c>
    </row>
    <row r="93" spans="2:13">
      <c r="B93" s="81">
        <f t="shared" si="4"/>
        <v>695</v>
      </c>
      <c r="C93" s="80">
        <v>4.1229585755005616</v>
      </c>
      <c r="D93" s="80">
        <v>54.142139910392757</v>
      </c>
      <c r="G93" s="83">
        <f t="shared" si="5"/>
        <v>0.08</v>
      </c>
      <c r="H93" s="80">
        <v>8.4942985736177548</v>
      </c>
      <c r="I93" s="80">
        <v>13.610205941563265</v>
      </c>
      <c r="K93" s="84">
        <f t="shared" ca="1" si="6"/>
        <v>46248</v>
      </c>
      <c r="L93" s="44">
        <v>17.078646274633456</v>
      </c>
      <c r="M93" s="44">
        <v>22.573240896950097</v>
      </c>
    </row>
    <row r="94" spans="2:13">
      <c r="B94" s="81">
        <f t="shared" si="4"/>
        <v>700</v>
      </c>
      <c r="C94" s="80">
        <v>5.019312428763925</v>
      </c>
      <c r="D94" s="80">
        <v>50.049241100661902</v>
      </c>
      <c r="G94" s="83">
        <f t="shared" si="5"/>
        <v>0.09</v>
      </c>
      <c r="H94" s="80">
        <v>9.8306101931070771</v>
      </c>
      <c r="I94" s="80">
        <v>14.946517561052531</v>
      </c>
      <c r="K94" s="84">
        <f t="shared" ca="1" si="6"/>
        <v>46250</v>
      </c>
      <c r="L94" s="44">
        <v>16.74629339272542</v>
      </c>
      <c r="M94" s="44">
        <v>22.367187945179637</v>
      </c>
    </row>
    <row r="95" spans="2:13">
      <c r="B95" s="81">
        <f t="shared" si="4"/>
        <v>705</v>
      </c>
      <c r="C95" s="80">
        <v>6.0564754413736921</v>
      </c>
      <c r="D95" s="80">
        <v>46.097151450277693</v>
      </c>
      <c r="G95" s="83">
        <f t="shared" si="5"/>
        <v>9.9999999999999992E-2</v>
      </c>
      <c r="H95" s="80">
        <v>11.171058401135042</v>
      </c>
      <c r="I95" s="80">
        <v>16.286965769080552</v>
      </c>
      <c r="K95" s="84">
        <f t="shared" ca="1" si="6"/>
        <v>46252</v>
      </c>
      <c r="L95" s="44">
        <v>16.410137491852367</v>
      </c>
      <c r="M95" s="44">
        <v>22.157367411066673</v>
      </c>
    </row>
    <row r="96" spans="2:13">
      <c r="B96" s="81">
        <f t="shared" si="4"/>
        <v>710</v>
      </c>
      <c r="C96" s="80">
        <v>7.2456064405000404</v>
      </c>
      <c r="D96" s="80">
        <v>42.29702978640978</v>
      </c>
      <c r="G96" s="83">
        <f t="shared" si="5"/>
        <v>0.10999999999999999</v>
      </c>
      <c r="H96" s="80">
        <v>12.514498695543239</v>
      </c>
      <c r="I96" s="80">
        <v>17.630406063488749</v>
      </c>
      <c r="K96" s="84">
        <f t="shared" ca="1" si="6"/>
        <v>46254</v>
      </c>
      <c r="L96" s="44">
        <v>16.070015933732861</v>
      </c>
      <c r="M96" s="44">
        <v>21.943616664701722</v>
      </c>
    </row>
    <row r="97" spans="2:13">
      <c r="B97" s="81">
        <f t="shared" si="4"/>
        <v>715</v>
      </c>
      <c r="C97" s="80">
        <v>8.596966622148841</v>
      </c>
      <c r="D97" s="80">
        <v>38.659137305064689</v>
      </c>
      <c r="G97" s="83">
        <f t="shared" si="5"/>
        <v>0.11999999999999998</v>
      </c>
      <c r="H97" s="80">
        <v>13.860162639780697</v>
      </c>
      <c r="I97" s="80">
        <v>18.976070007726207</v>
      </c>
      <c r="K97" s="84">
        <f t="shared" ca="1" si="6"/>
        <v>46256</v>
      </c>
      <c r="L97" s="44">
        <v>15.725754086492714</v>
      </c>
      <c r="M97" s="44">
        <v>21.725761082584711</v>
      </c>
    </row>
    <row r="98" spans="2:13">
      <c r="B98" s="81">
        <f t="shared" si="4"/>
        <v>720</v>
      </c>
      <c r="C98" s="80">
        <v>10.119667013243969</v>
      </c>
      <c r="D98" s="80">
        <v>35.192585033165756</v>
      </c>
      <c r="G98" s="83">
        <f t="shared" si="5"/>
        <v>0.12999999999999998</v>
      </c>
      <c r="H98" s="80">
        <v>15.207514464596898</v>
      </c>
      <c r="I98" s="80">
        <v>20.323421832542408</v>
      </c>
      <c r="K98" s="84">
        <f t="shared" ca="1" si="6"/>
        <v>46258</v>
      </c>
      <c r="L98" s="44">
        <v>15.377164050781232</v>
      </c>
      <c r="M98" s="44">
        <v>21.503612773740656</v>
      </c>
    </row>
    <row r="99" spans="2:13">
      <c r="B99" s="81">
        <f t="shared" si="4"/>
        <v>725</v>
      </c>
      <c r="C99" s="80">
        <v>11.821443806878023</v>
      </c>
      <c r="D99" s="80">
        <v>31.905109163805719</v>
      </c>
      <c r="G99" s="83">
        <f t="shared" si="5"/>
        <v>0.13999999999999999</v>
      </c>
      <c r="H99" s="80">
        <v>16.556168574086087</v>
      </c>
      <c r="I99" s="80">
        <v>21.672075942031597</v>
      </c>
      <c r="K99" s="84">
        <f t="shared" ca="1" si="6"/>
        <v>46260</v>
      </c>
      <c r="L99" s="44">
        <v>15.024043206844567</v>
      </c>
      <c r="M99" s="44">
        <v>21.276969126793972</v>
      </c>
    </row>
    <row r="100" spans="2:13">
      <c r="B100" s="81">
        <f t="shared" si="4"/>
        <v>730</v>
      </c>
      <c r="C100" s="80">
        <v>13.708470979424021</v>
      </c>
      <c r="D100" s="80">
        <v>28.802883673357542</v>
      </c>
      <c r="G100" s="83">
        <f t="shared" si="5"/>
        <v>0.15</v>
      </c>
      <c r="H100" s="80">
        <v>17.905839797820192</v>
      </c>
      <c r="I100" s="80">
        <v>23.021747165765589</v>
      </c>
      <c r="K100" s="84">
        <f t="shared" ca="1" si="6"/>
        <v>46262</v>
      </c>
      <c r="L100" s="44">
        <v>14.66617255089119</v>
      </c>
      <c r="M100" s="44">
        <v>21.045611146332533</v>
      </c>
    </row>
    <row r="101" spans="2:13">
      <c r="B101" s="81">
        <f t="shared" si="4"/>
        <v>735</v>
      </c>
      <c r="C101" s="80">
        <v>15.785217721612526</v>
      </c>
      <c r="D101" s="80">
        <v>25.890377752552013</v>
      </c>
      <c r="G101" s="83">
        <f t="shared" si="5"/>
        <v>0.16</v>
      </c>
      <c r="H101" s="80">
        <v>19.256312176177573</v>
      </c>
      <c r="I101" s="80">
        <v>24.372219544123084</v>
      </c>
      <c r="K101" s="84">
        <f t="shared" ca="1" si="6"/>
        <v>46264</v>
      </c>
      <c r="L101" s="44">
        <v>14.303314782257871</v>
      </c>
      <c r="M101" s="44">
        <v>20.809301540074557</v>
      </c>
    </row>
    <row r="102" spans="2:13">
      <c r="B102" s="81">
        <f t="shared" si="4"/>
        <v>740</v>
      </c>
      <c r="C102" s="80">
        <v>18.054355928411496</v>
      </c>
      <c r="D102" s="80">
        <v>23.170263296357064</v>
      </c>
      <c r="G102" s="83">
        <f t="shared" si="5"/>
        <v>0.17</v>
      </c>
      <c r="H102" s="80">
        <v>20.60741869984588</v>
      </c>
      <c r="I102" s="80">
        <v>25.723326067791334</v>
      </c>
      <c r="K102" s="84">
        <f t="shared" ca="1" si="6"/>
        <v>46266</v>
      </c>
      <c r="L102" s="44">
        <v>13.935212094322651</v>
      </c>
      <c r="M102" s="44">
        <v>20.567782509782091</v>
      </c>
    </row>
    <row r="103" spans="2:13">
      <c r="B103" s="81">
        <f t="shared" si="4"/>
        <v>745</v>
      </c>
      <c r="C103" s="80">
        <v>20.516720463173385</v>
      </c>
      <c r="D103" s="80">
        <v>20.643375168124862</v>
      </c>
      <c r="G103" s="83">
        <f t="shared" si="5"/>
        <v>0.18000000000000002</v>
      </c>
      <c r="H103" s="80">
        <v>21.959027769054217</v>
      </c>
      <c r="I103" s="80">
        <v>27.074935136999784</v>
      </c>
      <c r="K103" s="84">
        <f t="shared" ca="1" si="6"/>
        <v>46268</v>
      </c>
      <c r="L103" s="44">
        <v>13.561583611277911</v>
      </c>
      <c r="M103" s="44">
        <v>20.320773188032717</v>
      </c>
    </row>
    <row r="104" spans="2:13">
      <c r="B104" s="81">
        <f t="shared" si="4"/>
        <v>750</v>
      </c>
      <c r="C104" s="80">
        <v>23.171322319294859</v>
      </c>
      <c r="D104" s="80">
        <v>18.308724361252189</v>
      </c>
      <c r="G104" s="83">
        <f t="shared" si="5"/>
        <v>0.19000000000000003</v>
      </c>
      <c r="H104" s="80">
        <v>23.31103390992206</v>
      </c>
      <c r="I104" s="80">
        <v>28.42694127786757</v>
      </c>
      <c r="K104" s="84">
        <f t="shared" ca="1" si="6"/>
        <v>46270</v>
      </c>
      <c r="L104" s="44">
        <v>13.182122399066259</v>
      </c>
      <c r="M104" s="44">
        <v>20.067966649156517</v>
      </c>
    </row>
    <row r="105" spans="2:13">
      <c r="B105" s="81">
        <f t="shared" si="4"/>
        <v>755</v>
      </c>
      <c r="C105" s="80">
        <v>26.015412321595591</v>
      </c>
      <c r="D105" s="80">
        <v>16.16356170055883</v>
      </c>
      <c r="G105" s="83">
        <f t="shared" si="5"/>
        <v>0.20000000000000004</v>
      </c>
      <c r="H105" s="80">
        <v>24.663351264928849</v>
      </c>
      <c r="I105" s="80">
        <v>29.779258632874303</v>
      </c>
      <c r="K105" s="84">
        <f t="shared" ca="1" si="6"/>
        <v>46272</v>
      </c>
      <c r="L105" s="44">
        <v>12.796491961059587</v>
      </c>
      <c r="M105" s="44">
        <v>19.809026404914562</v>
      </c>
    </row>
    <row r="106" spans="2:13">
      <c r="B106" s="81">
        <f t="shared" si="4"/>
        <v>760</v>
      </c>
      <c r="C106" s="80">
        <v>29.044590794296084</v>
      </c>
      <c r="D106" s="80">
        <v>14.203487510265404</v>
      </c>
      <c r="G106" s="83">
        <f t="shared" si="5"/>
        <v>0.21000000000000005</v>
      </c>
      <c r="H106" s="80">
        <v>26.015908936684013</v>
      </c>
      <c r="I106" s="80">
        <v>31.131816304629524</v>
      </c>
      <c r="K106" s="84">
        <f t="shared" ca="1" si="6"/>
        <v>46274</v>
      </c>
      <c r="L106" s="44">
        <v>12.404322106098732</v>
      </c>
      <c r="M106" s="44">
        <v>19.543582272539084</v>
      </c>
    </row>
    <row r="107" spans="2:13">
      <c r="B107" s="81">
        <f t="shared" si="4"/>
        <v>765</v>
      </c>
      <c r="C107" s="80">
        <v>32.252956796620424</v>
      </c>
      <c r="D107" s="80">
        <v>12.422600849595597</v>
      </c>
      <c r="G107" s="83">
        <f t="shared" si="5"/>
        <v>0.22000000000000006</v>
      </c>
      <c r="H107" s="80">
        <v>27.368647597541781</v>
      </c>
      <c r="I107" s="80">
        <v>32.484554965487234</v>
      </c>
      <c r="K107" s="84">
        <f t="shared" ca="1" si="6"/>
        <v>46276</v>
      </c>
      <c r="L107" s="44">
        <v>12.005204046520305</v>
      </c>
      <c r="M107" s="44">
        <v>19.271225472759454</v>
      </c>
    </row>
    <row r="108" spans="2:13">
      <c r="B108" s="81">
        <f t="shared" si="4"/>
        <v>770</v>
      </c>
      <c r="C108" s="80">
        <v>35.633289176235394</v>
      </c>
      <c r="D108" s="80">
        <v>10.813680566216448</v>
      </c>
      <c r="G108" s="83">
        <f t="shared" si="5"/>
        <v>0.23000000000000007</v>
      </c>
      <c r="H108" s="80">
        <v>28.721516981124864</v>
      </c>
      <c r="I108" s="80">
        <v>33.837424349070375</v>
      </c>
      <c r="K108" s="84">
        <f t="shared" ca="1" si="6"/>
        <v>46278</v>
      </c>
      <c r="L108" s="44">
        <v>11.598684544241507</v>
      </c>
      <c r="M108" s="44">
        <v>18.991502775888364</v>
      </c>
    </row>
    <row r="109" spans="2:13">
      <c r="B109" s="81">
        <f t="shared" si="4"/>
        <v>775</v>
      </c>
      <c r="C109" s="80">
        <v>39.177250859021228</v>
      </c>
      <c r="D109" s="80">
        <v>9.3683895860082202</v>
      </c>
      <c r="G109" s="83">
        <f t="shared" si="5"/>
        <v>0.24000000000000007</v>
      </c>
      <c r="H109" s="80">
        <v>30.074473999333406</v>
      </c>
      <c r="I109" s="80">
        <v>35.190381367278917</v>
      </c>
      <c r="K109" s="84">
        <f t="shared" ca="1" si="6"/>
        <v>46280</v>
      </c>
      <c r="L109" s="44">
        <v>11.184258870286214</v>
      </c>
      <c r="M109" s="44">
        <v>18.703909461346313</v>
      </c>
    </row>
    <row r="110" spans="2:13">
      <c r="B110" s="81">
        <f t="shared" si="4"/>
        <v>780</v>
      </c>
      <c r="C110" s="80">
        <v>42.875607484330317</v>
      </c>
      <c r="D110" s="80">
        <v>8.0774935483232753</v>
      </c>
      <c r="G110" s="83">
        <f t="shared" si="5"/>
        <v>0.25000000000000006</v>
      </c>
      <c r="H110" s="80">
        <v>31.427481310204087</v>
      </c>
      <c r="I110" s="80">
        <v>36.543388678149483</v>
      </c>
      <c r="K110" s="84">
        <f t="shared" ca="1" si="6"/>
        <v>46282</v>
      </c>
      <c r="L110" s="44">
        <v>10.761362272195868</v>
      </c>
      <c r="M110" s="44">
        <v>18.407880785073587</v>
      </c>
    </row>
    <row r="111" spans="2:13">
      <c r="B111" s="81">
        <f t="shared" si="4"/>
        <v>785</v>
      </c>
      <c r="C111" s="80">
        <v>46.718451674668358</v>
      </c>
      <c r="D111" s="80">
        <v>6.9310850756672551</v>
      </c>
      <c r="G111" s="83">
        <f t="shared" si="5"/>
        <v>0.26000000000000006</v>
      </c>
      <c r="H111" s="80">
        <v>32.78050621555235</v>
      </c>
      <c r="I111" s="80">
        <v>37.896413583497804</v>
      </c>
      <c r="K111" s="84">
        <f t="shared" ca="1" si="6"/>
        <v>46284</v>
      </c>
      <c r="L111" s="44">
        <v>10.329359547182094</v>
      </c>
      <c r="M111" s="44">
        <v>18.1027815526827</v>
      </c>
    </row>
    <row r="112" spans="2:13">
      <c r="B112" s="81">
        <f t="shared" si="4"/>
        <v>790</v>
      </c>
      <c r="C112" s="80">
        <v>50.695424834613732</v>
      </c>
      <c r="D112" s="80">
        <v>5.9188055726185951</v>
      </c>
      <c r="G112" s="83">
        <f t="shared" si="5"/>
        <v>0.27000000000000007</v>
      </c>
      <c r="H112" s="80">
        <v>34.133519803105912</v>
      </c>
      <c r="I112" s="80">
        <v>39.249427171051423</v>
      </c>
      <c r="K112" s="84">
        <f t="shared" ca="1" si="6"/>
        <v>46286</v>
      </c>
      <c r="L112" s="44">
        <v>9.8875321857639733</v>
      </c>
      <c r="M112" s="44">
        <v>17.787893263095384</v>
      </c>
    </row>
    <row r="113" spans="2:13">
      <c r="B113" s="81">
        <f t="shared" si="4"/>
        <v>795</v>
      </c>
      <c r="C113" s="80">
        <v>54.795929321503991</v>
      </c>
      <c r="D113" s="80">
        <v>5.0300573965147066</v>
      </c>
      <c r="G113" s="83">
        <f t="shared" si="5"/>
        <v>0.28000000000000008</v>
      </c>
      <c r="H113" s="80">
        <v>35.4864962721403</v>
      </c>
      <c r="I113" s="80">
        <v>40.602403640085811</v>
      </c>
      <c r="K113" s="84">
        <f t="shared" ca="1" si="6"/>
        <v>46288</v>
      </c>
      <c r="L113" s="44">
        <v>9.435062364852854</v>
      </c>
      <c r="M113" s="44">
        <v>17.4623981016274</v>
      </c>
    </row>
    <row r="114" spans="2:13">
      <c r="B114" s="81">
        <f t="shared" si="4"/>
        <v>800</v>
      </c>
      <c r="C114" s="80">
        <v>59.009325023557949</v>
      </c>
      <c r="D114" s="80">
        <v>4.2542004355745888</v>
      </c>
      <c r="G114" s="83">
        <f t="shared" si="5"/>
        <v>0.29000000000000009</v>
      </c>
      <c r="H114" s="80">
        <v>36.839412398416187</v>
      </c>
      <c r="I114" s="80">
        <v>41.955319766361697</v>
      </c>
      <c r="K114" s="84">
        <f t="shared" ca="1" si="6"/>
        <v>46290</v>
      </c>
      <c r="L114" s="44">
        <v>8.9710128064974697</v>
      </c>
      <c r="M114" s="44">
        <v>17.125358798734283</v>
      </c>
    </row>
    <row r="115" spans="2:13">
      <c r="B115" s="81">
        <f t="shared" si="4"/>
        <v>805</v>
      </c>
      <c r="C115" s="80">
        <v>63.325105719908038</v>
      </c>
      <c r="D115" s="80">
        <v>3.580728468930829</v>
      </c>
      <c r="G115" s="83">
        <f t="shared" si="5"/>
        <v>0.3000000000000001</v>
      </c>
      <c r="H115" s="80">
        <v>38.192247105975753</v>
      </c>
      <c r="I115" s="80">
        <v>43.308154473921206</v>
      </c>
      <c r="K115" s="84">
        <f t="shared" ca="1" si="6"/>
        <v>46292</v>
      </c>
      <c r="L115" s="44">
        <v>8.4943011417665275</v>
      </c>
      <c r="M115" s="44">
        <v>16.77569299389296</v>
      </c>
    </row>
    <row r="116" spans="2:13">
      <c r="B116" s="81">
        <f t="shared" si="4"/>
        <v>810</v>
      </c>
      <c r="C116" s="80">
        <v>67.733051986173109</v>
      </c>
      <c r="D116" s="80">
        <v>2.9994220722016536</v>
      </c>
      <c r="G116" s="83">
        <f t="shared" si="5"/>
        <v>0.31000000000000011</v>
      </c>
      <c r="H116" s="80">
        <v>39.544981121712169</v>
      </c>
      <c r="I116" s="80">
        <v>44.66088848965768</v>
      </c>
      <c r="K116" s="84">
        <f t="shared" ca="1" si="6"/>
        <v>46294</v>
      </c>
      <c r="L116" s="44">
        <v>8.0036668716381314</v>
      </c>
      <c r="M116" s="44">
        <v>16.412140196491862</v>
      </c>
    </row>
    <row r="117" spans="2:13">
      <c r="B117" s="81">
        <f t="shared" si="4"/>
        <v>815</v>
      </c>
      <c r="C117" s="80">
        <v>72.223358764049067</v>
      </c>
      <c r="D117" s="80">
        <v>2.5004761870835921</v>
      </c>
      <c r="G117" s="83">
        <f t="shared" si="5"/>
        <v>0.32000000000000012</v>
      </c>
      <c r="H117" s="80">
        <v>40.897596694635695</v>
      </c>
      <c r="I117" s="80">
        <v>46.013504062581205</v>
      </c>
      <c r="K117" s="84">
        <f t="shared" ca="1" si="6"/>
        <v>46296</v>
      </c>
      <c r="L117" s="44">
        <v>7.4976282103940548</v>
      </c>
      <c r="M117" s="44">
        <v>16.033218629225189</v>
      </c>
    </row>
    <row r="118" spans="2:13">
      <c r="B118" s="81">
        <f t="shared" si="4"/>
        <v>820</v>
      </c>
      <c r="C118" s="80">
        <v>76.786736964293254</v>
      </c>
      <c r="D118" s="80">
        <v>2.0746017243337036</v>
      </c>
      <c r="G118" s="83">
        <f t="shared" si="5"/>
        <v>0.33000000000000013</v>
      </c>
      <c r="H118" s="80">
        <v>42.250077366133951</v>
      </c>
      <c r="I118" s="80">
        <v>47.365984734079461</v>
      </c>
      <c r="K118" s="84">
        <f t="shared" ca="1" si="6"/>
        <v>46298</v>
      </c>
      <c r="L118" s="44">
        <v>6.9744248970232547</v>
      </c>
      <c r="M118" s="44">
        <v>15.637168039495918</v>
      </c>
    </row>
    <row r="119" spans="2:13">
      <c r="B119" s="81">
        <f t="shared" si="4"/>
        <v>825</v>
      </c>
      <c r="C119" s="80">
        <v>81.414489567222745</v>
      </c>
      <c r="D119" s="80">
        <v>1.7131016642691392</v>
      </c>
      <c r="G119" s="83">
        <f t="shared" si="5"/>
        <v>0.34000000000000014</v>
      </c>
      <c r="H119" s="80">
        <v>43.602407780743363</v>
      </c>
      <c r="I119" s="80">
        <v>48.718315148688816</v>
      </c>
      <c r="K119" s="84">
        <f t="shared" ca="1" si="6"/>
        <v>46300</v>
      </c>
      <c r="L119" s="44">
        <v>6.4319412659295949</v>
      </c>
      <c r="M119" s="44">
        <v>15.221872770124151</v>
      </c>
    </row>
    <row r="120" spans="2:13">
      <c r="B120" s="81">
        <f t="shared" si="4"/>
        <v>830</v>
      </c>
      <c r="C120" s="80">
        <v>86.098563589473088</v>
      </c>
      <c r="D120" s="80">
        <v>1.4079230235254414</v>
      </c>
      <c r="G120" s="83">
        <f t="shared" si="5"/>
        <v>0.35000000000000014</v>
      </c>
      <c r="H120" s="80">
        <v>44.954573529339882</v>
      </c>
      <c r="I120" s="80">
        <v>50.070480897285393</v>
      </c>
      <c r="K120" s="84">
        <f t="shared" ca="1" si="6"/>
        <v>46302</v>
      </c>
      <c r="L120" s="44">
        <v>5.8676012106464555</v>
      </c>
      <c r="M120" s="44">
        <v>14.78475672306098</v>
      </c>
    </row>
    <row r="121" spans="2:13">
      <c r="B121" s="81">
        <f t="shared" si="4"/>
        <v>835</v>
      </c>
      <c r="C121" s="80">
        <v>90.831579983530901</v>
      </c>
      <c r="D121" s="80">
        <v>1.1516867545891429</v>
      </c>
      <c r="G121" s="83">
        <f t="shared" si="5"/>
        <v>0.36000000000000015</v>
      </c>
      <c r="H121" s="80">
        <v>46.306561018455454</v>
      </c>
      <c r="I121" s="80">
        <v>51.422468386400851</v>
      </c>
      <c r="K121" s="84">
        <f t="shared" ca="1" si="6"/>
        <v>46304</v>
      </c>
      <c r="L121" s="44">
        <v>5.27822291586088</v>
      </c>
      <c r="M121" s="44">
        <v>14.322638091413523</v>
      </c>
    </row>
    <row r="122" spans="2:13">
      <c r="B122" s="81">
        <f t="shared" si="4"/>
        <v>840</v>
      </c>
      <c r="C122" s="80">
        <v>95.606844026150952</v>
      </c>
      <c r="D122" s="80">
        <v>0.93769813421506854</v>
      </c>
      <c r="G122" s="83">
        <f t="shared" si="5"/>
        <v>0.37000000000000016</v>
      </c>
      <c r="H122" s="80">
        <v>47.658357360779689</v>
      </c>
      <c r="I122" s="80">
        <v>52.774264728725086</v>
      </c>
      <c r="K122" s="84">
        <f t="shared" ca="1" si="6"/>
        <v>46306</v>
      </c>
      <c r="L122" s="44">
        <v>4.6598167519780134</v>
      </c>
      <c r="M122" s="44">
        <v>13.831527254008904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B542-9D9A-4A90-9F72-04FD54BBF93E}">
  <dimension ref="A3:S262"/>
  <sheetViews>
    <sheetView showGridLines="0" tabSelected="1" topLeftCell="A15" zoomScale="120" zoomScaleNormal="120" workbookViewId="0">
      <selection activeCell="M14" sqref="M14"/>
    </sheetView>
  </sheetViews>
  <sheetFormatPr defaultRowHeight="15" outlineLevelRow="1"/>
  <cols>
    <col min="2" max="2" width="17.7109375" customWidth="1"/>
    <col min="3" max="3" width="17.85546875" customWidth="1"/>
    <col min="4" max="4" width="17.7109375" customWidth="1"/>
    <col min="5" max="5" width="19" customWidth="1"/>
    <col min="6" max="6" width="17.7109375" customWidth="1"/>
    <col min="7" max="9" width="14.7109375" customWidth="1"/>
    <col min="10" max="11" width="17.7109375" customWidth="1"/>
    <col min="13" max="13" width="27.42578125" customWidth="1"/>
    <col min="14" max="14" width="18.28515625" customWidth="1"/>
  </cols>
  <sheetData>
    <row r="3" spans="1:19" ht="21">
      <c r="A3" t="s">
        <v>96</v>
      </c>
      <c r="B3" s="123" t="s">
        <v>95</v>
      </c>
      <c r="C3" s="123"/>
      <c r="E3" s="233" t="s">
        <v>196</v>
      </c>
      <c r="F3" s="233"/>
      <c r="G3" s="233"/>
      <c r="H3" s="233"/>
      <c r="I3" s="233"/>
      <c r="J3" s="233"/>
      <c r="K3" s="233"/>
    </row>
    <row r="4" spans="1:19">
      <c r="S4" t="s">
        <v>97</v>
      </c>
    </row>
    <row r="5" spans="1:19">
      <c r="B5" s="46" t="s">
        <v>12</v>
      </c>
      <c r="C5" s="113">
        <v>740</v>
      </c>
      <c r="E5" s="227" t="s">
        <v>18</v>
      </c>
      <c r="F5" s="228"/>
      <c r="H5" s="214" t="s">
        <v>69</v>
      </c>
      <c r="J5" s="227" t="s">
        <v>19</v>
      </c>
      <c r="K5" s="228"/>
      <c r="M5" s="223" t="s">
        <v>204</v>
      </c>
    </row>
    <row r="6" spans="1:19" ht="15" customHeight="1">
      <c r="B6" s="47" t="s">
        <v>13</v>
      </c>
      <c r="C6" s="113">
        <v>750</v>
      </c>
      <c r="E6" s="231">
        <f ca="1">F128</f>
        <v>19.853334602169866</v>
      </c>
      <c r="F6" s="232"/>
      <c r="H6" s="215" t="str">
        <f ca="1">IF(G150=G151,"OK","ERROR")</f>
        <v>OK</v>
      </c>
      <c r="J6" s="231">
        <f ca="1">F133</f>
        <v>25.639592836487736</v>
      </c>
      <c r="K6" s="232"/>
      <c r="M6" s="110" t="s">
        <v>199</v>
      </c>
      <c r="S6" t="s">
        <v>97</v>
      </c>
    </row>
    <row r="7" spans="1:19" ht="15" customHeight="1">
      <c r="B7" s="47" t="s">
        <v>14</v>
      </c>
      <c r="C7" s="114">
        <v>46319</v>
      </c>
      <c r="E7" s="231"/>
      <c r="F7" s="232"/>
      <c r="J7" s="231"/>
      <c r="K7" s="232"/>
      <c r="M7" s="110" t="s">
        <v>200</v>
      </c>
    </row>
    <row r="8" spans="1:19">
      <c r="B8" s="47" t="s">
        <v>11</v>
      </c>
      <c r="C8" s="115">
        <v>4.1099999999999998E-2</v>
      </c>
      <c r="E8" s="216" t="s">
        <v>4</v>
      </c>
      <c r="F8" s="217">
        <f ca="1">F15</f>
        <v>0.47460367647912116</v>
      </c>
      <c r="H8" s="214" t="s">
        <v>104</v>
      </c>
      <c r="J8" s="216" t="s">
        <v>4</v>
      </c>
      <c r="K8" s="217">
        <f ca="1">F16</f>
        <v>-0.52539632352087884</v>
      </c>
      <c r="M8" s="110" t="s">
        <v>201</v>
      </c>
      <c r="S8" t="s">
        <v>97</v>
      </c>
    </row>
    <row r="9" spans="1:19">
      <c r="B9" s="47" t="s">
        <v>15</v>
      </c>
      <c r="C9" s="115">
        <v>0.15110000000000001</v>
      </c>
      <c r="E9" s="216" t="s">
        <v>29</v>
      </c>
      <c r="F9" s="218">
        <f ca="1">D147</f>
        <v>769.85333460216987</v>
      </c>
      <c r="H9" s="215" t="str">
        <f>C14</f>
        <v>SPY</v>
      </c>
      <c r="J9" s="216" t="s">
        <v>29</v>
      </c>
      <c r="K9" s="218">
        <f ca="1">D151</f>
        <v>724.36040716351226</v>
      </c>
      <c r="M9" s="110" t="s">
        <v>202</v>
      </c>
    </row>
    <row r="10" spans="1:19">
      <c r="B10" s="47" t="s">
        <v>16</v>
      </c>
      <c r="C10" s="115">
        <v>1.0200000000000001E-2</v>
      </c>
      <c r="E10" s="216" t="s">
        <v>30</v>
      </c>
      <c r="F10" s="219">
        <f ca="1">D148</f>
        <v>0.31508182127679341</v>
      </c>
      <c r="J10" s="216" t="s">
        <v>30</v>
      </c>
      <c r="K10" s="219">
        <f ca="1">D152</f>
        <v>0.37675068354011398</v>
      </c>
      <c r="M10" s="110" t="s">
        <v>203</v>
      </c>
    </row>
    <row r="11" spans="1:19">
      <c r="B11" s="47" t="s">
        <v>17</v>
      </c>
      <c r="C11" s="125">
        <f ca="1">TODAY()</f>
        <v>46242</v>
      </c>
      <c r="E11" s="216" t="s">
        <v>81</v>
      </c>
      <c r="F11" s="220" t="str">
        <f>IF($C$5&gt;$C$6,"ITM",IF($C$5=$C$6,"ATM","OTM"))</f>
        <v>OTM</v>
      </c>
      <c r="H11" s="214" t="s">
        <v>198</v>
      </c>
      <c r="J11" s="216" t="s">
        <v>81</v>
      </c>
      <c r="K11" s="220" t="str">
        <f>IF($C$5&lt;$C$6,"ITM",IF($C$5=$C$6,"ATM","OTM"))</f>
        <v>ITM</v>
      </c>
      <c r="M11" s="71"/>
    </row>
    <row r="12" spans="1:19">
      <c r="B12" s="47" t="s">
        <v>73</v>
      </c>
      <c r="C12" s="126">
        <f ca="1">MAX(_xlfn.DAYS(C7,C11),0)</f>
        <v>77</v>
      </c>
      <c r="E12" s="221" t="s">
        <v>197</v>
      </c>
      <c r="F12" s="222">
        <f ca="1">G159</f>
        <v>17.644767525378516</v>
      </c>
      <c r="H12" s="215">
        <f ca="1">C12</f>
        <v>77</v>
      </c>
      <c r="J12" s="221" t="s">
        <v>197</v>
      </c>
      <c r="K12" s="222">
        <f ca="1">G162</f>
        <v>15.12495913924003</v>
      </c>
      <c r="M12" s="223" t="s">
        <v>91</v>
      </c>
    </row>
    <row r="13" spans="1:19">
      <c r="B13" s="47" t="s">
        <v>20</v>
      </c>
      <c r="C13" s="113">
        <v>100</v>
      </c>
      <c r="M13" s="110" t="s">
        <v>210</v>
      </c>
    </row>
    <row r="14" spans="1:19">
      <c r="B14" s="47" t="s">
        <v>104</v>
      </c>
      <c r="C14" s="117" t="s">
        <v>105</v>
      </c>
      <c r="E14" s="224"/>
      <c r="F14" s="225" t="str" cm="1">
        <f t="array" ref="F14:K14">TRANSPOSE(B158:B163)</f>
        <v>Delta (Δ)</v>
      </c>
      <c r="G14" s="225" t="str">
        <v>Gamma (Γ)</v>
      </c>
      <c r="H14" s="225" t="str">
        <v>Daily Theta (θ)</v>
      </c>
      <c r="I14" s="225" t="str">
        <v>Vega (ν)</v>
      </c>
      <c r="J14" s="225" t="str">
        <v>Rho (ρ)</v>
      </c>
      <c r="K14" s="225" t="str">
        <v>Phi (φ)</v>
      </c>
      <c r="M14" s="110" t="s">
        <v>207</v>
      </c>
    </row>
    <row r="15" spans="1:19">
      <c r="B15" s="48" t="s">
        <v>112</v>
      </c>
      <c r="C15" s="126">
        <f ca="1">NETWORKDAYS(C11,C7)</f>
        <v>55</v>
      </c>
      <c r="E15" s="225" t="s">
        <v>0</v>
      </c>
      <c r="F15" s="182" cm="1">
        <f t="array" aca="1" ref="F15:K15" ca="1">TRANSPOSE(C158:C163)</f>
        <v>0.47460367647912116</v>
      </c>
      <c r="G15" s="183">
        <f ca="1"/>
        <v>7.0447829406854751E-3</v>
      </c>
      <c r="H15" s="184">
        <f ca="1"/>
        <v>-0.17631963110823384</v>
      </c>
      <c r="I15" s="185">
        <f ca="1"/>
        <v>1.372866374156734</v>
      </c>
      <c r="J15" s="186">
        <f ca="1"/>
        <v>0.69712243033872967</v>
      </c>
      <c r="K15" s="187">
        <f ca="1"/>
        <v>-0.73900480744467711</v>
      </c>
      <c r="M15" s="110" t="s">
        <v>206</v>
      </c>
    </row>
    <row r="16" spans="1:19">
      <c r="E16" s="225" t="s">
        <v>7</v>
      </c>
      <c r="F16" s="182" cm="1">
        <f t="array" aca="1" ref="F16:K16" ca="1">TRANSPOSE(D158:D163)</f>
        <v>-0.52539632352087884</v>
      </c>
      <c r="G16" s="183">
        <f ca="1"/>
        <v>7.0447829406854751E-3</v>
      </c>
      <c r="H16" s="184">
        <f ca="1"/>
        <v>-9.7312739416690677E-2</v>
      </c>
      <c r="I16" s="185">
        <f ca="1"/>
        <v>1.372866374156734</v>
      </c>
      <c r="J16" s="186">
        <f ca="1"/>
        <v>-0.8721829804466833</v>
      </c>
      <c r="K16" s="187">
        <f ca="1"/>
        <v>-0.81809397638066816</v>
      </c>
      <c r="M16" s="110"/>
    </row>
    <row r="43" spans="1:10" ht="21">
      <c r="A43" t="s">
        <v>97</v>
      </c>
      <c r="B43" s="122" t="s">
        <v>98</v>
      </c>
      <c r="C43" s="116"/>
      <c r="D43" s="116"/>
      <c r="E43" s="116"/>
      <c r="F43" s="116"/>
    </row>
    <row r="44" spans="1:10" outlineLevel="1"/>
    <row r="45" spans="1:10" outlineLevel="1">
      <c r="B45" s="121" t="s">
        <v>99</v>
      </c>
      <c r="C45" s="121" t="s">
        <v>102</v>
      </c>
      <c r="D45" s="121" t="s">
        <v>100</v>
      </c>
      <c r="E45" s="121" t="s">
        <v>101</v>
      </c>
      <c r="F45" s="121" t="s">
        <v>103</v>
      </c>
      <c r="H45" s="240" t="s">
        <v>108</v>
      </c>
      <c r="I45" s="241"/>
      <c r="J45" s="50">
        <f ca="1">SUM(F46:F51)</f>
        <v>1.8947323425311964</v>
      </c>
    </row>
    <row r="46" spans="1:10" outlineLevel="1">
      <c r="B46" s="143">
        <v>46283</v>
      </c>
      <c r="C46" s="144">
        <f>(1.8083+1.9987)/2</f>
        <v>1.9035</v>
      </c>
      <c r="D46" s="118">
        <f t="shared" ref="D46:D51" ca="1" si="0">IF(B46="","",(B46-$C$11)/365)</f>
        <v>0.11232876712328767</v>
      </c>
      <c r="E46" s="119">
        <f t="shared" ref="E46:E51" ca="1" si="1">IF(B46="","",IF(AND(B46&gt;$C$11,B46&lt;=$C$7),1,0))</f>
        <v>1</v>
      </c>
      <c r="F46" s="50">
        <f t="shared" ref="F46:F51" ca="1" si="2">C46*EXP(-$C$8*D46)*E46</f>
        <v>1.8947323425311964</v>
      </c>
      <c r="H46" s="242" t="s">
        <v>109</v>
      </c>
      <c r="I46" s="243"/>
      <c r="J46" s="134">
        <f ca="1">$C$5-$J$45</f>
        <v>738.10526765746886</v>
      </c>
    </row>
    <row r="47" spans="1:10" outlineLevel="1">
      <c r="B47" s="120">
        <f>EDATE(B46,3)</f>
        <v>46374</v>
      </c>
      <c r="C47" s="50">
        <f>C46</f>
        <v>1.9035</v>
      </c>
      <c r="D47" s="118">
        <f t="shared" ca="1" si="0"/>
        <v>0.36164383561643837</v>
      </c>
      <c r="E47" s="119">
        <f t="shared" ca="1" si="1"/>
        <v>0</v>
      </c>
      <c r="F47" s="50">
        <f t="shared" ca="1" si="2"/>
        <v>0</v>
      </c>
    </row>
    <row r="48" spans="1:10" outlineLevel="1">
      <c r="B48" s="120">
        <f>EDATE(B47,3)</f>
        <v>46464</v>
      </c>
      <c r="C48" s="50">
        <f t="shared" ref="C48:C51" si="3">C47</f>
        <v>1.9035</v>
      </c>
      <c r="D48" s="118">
        <f t="shared" ca="1" si="0"/>
        <v>0.60821917808219184</v>
      </c>
      <c r="E48" s="119">
        <f t="shared" ca="1" si="1"/>
        <v>0</v>
      </c>
      <c r="F48" s="50">
        <f t="shared" ca="1" si="2"/>
        <v>0</v>
      </c>
    </row>
    <row r="49" spans="1:6" outlineLevel="1">
      <c r="B49" s="120">
        <f t="shared" ref="B49:B51" si="4">EDATE(B48,3)</f>
        <v>46556</v>
      </c>
      <c r="C49" s="50">
        <f t="shared" si="3"/>
        <v>1.9035</v>
      </c>
      <c r="D49" s="118">
        <f t="shared" ca="1" si="0"/>
        <v>0.86027397260273974</v>
      </c>
      <c r="E49" s="119">
        <f t="shared" ca="1" si="1"/>
        <v>0</v>
      </c>
      <c r="F49" s="50">
        <f t="shared" ca="1" si="2"/>
        <v>0</v>
      </c>
    </row>
    <row r="50" spans="1:6" outlineLevel="1">
      <c r="B50" s="120">
        <f t="shared" si="4"/>
        <v>46648</v>
      </c>
      <c r="C50" s="50">
        <f t="shared" si="3"/>
        <v>1.9035</v>
      </c>
      <c r="D50" s="118">
        <f t="shared" ca="1" si="0"/>
        <v>1.1123287671232878</v>
      </c>
      <c r="E50" s="119">
        <f t="shared" ca="1" si="1"/>
        <v>0</v>
      </c>
      <c r="F50" s="50">
        <f t="shared" ca="1" si="2"/>
        <v>0</v>
      </c>
    </row>
    <row r="51" spans="1:6" outlineLevel="1">
      <c r="B51" s="120">
        <f t="shared" si="4"/>
        <v>46739</v>
      </c>
      <c r="C51" s="50">
        <f t="shared" si="3"/>
        <v>1.9035</v>
      </c>
      <c r="D51" s="118">
        <f t="shared" ca="1" si="0"/>
        <v>1.3616438356164384</v>
      </c>
      <c r="E51" s="119">
        <f t="shared" ca="1" si="1"/>
        <v>0</v>
      </c>
      <c r="F51" s="50">
        <f t="shared" ca="1" si="2"/>
        <v>0</v>
      </c>
    </row>
    <row r="52" spans="1:6" outlineLevel="1">
      <c r="B52" s="72" t="s">
        <v>106</v>
      </c>
      <c r="C52" s="72"/>
    </row>
    <row r="53" spans="1:6" outlineLevel="1">
      <c r="B53" s="72" t="s">
        <v>107</v>
      </c>
      <c r="C53" s="72"/>
    </row>
    <row r="54" spans="1:6" outlineLevel="1">
      <c r="B54" s="72" t="s">
        <v>110</v>
      </c>
    </row>
    <row r="55" spans="1:6" outlineLevel="1"/>
    <row r="57" spans="1:6" ht="21">
      <c r="A57" t="s">
        <v>97</v>
      </c>
      <c r="B57" s="122" t="s">
        <v>111</v>
      </c>
      <c r="C57" s="116"/>
      <c r="D57" s="116"/>
      <c r="E57" s="116"/>
      <c r="F57" s="116"/>
    </row>
    <row r="58" spans="1:6" outlineLevel="1"/>
    <row r="59" spans="1:6" outlineLevel="1">
      <c r="B59" s="136" t="e" vm="16">
        <v>#VALUE!</v>
      </c>
      <c r="C59" s="135">
        <f ca="1">J46/C6</f>
        <v>0.98414035687662516</v>
      </c>
      <c r="E59" s="129" t="s">
        <v>18</v>
      </c>
      <c r="F59" s="127">
        <f ca="1">$J$46*$C$66-$C$6*$C$63*$C$67</f>
        <v>17.910506844410122</v>
      </c>
    </row>
    <row r="60" spans="1:6" outlineLevel="1">
      <c r="B60" s="137" t="e" vm="17">
        <v>#VALUE!</v>
      </c>
      <c r="C60" s="135">
        <f ca="1">LN(C59)</f>
        <v>-1.5986752999611768E-2</v>
      </c>
      <c r="E60" s="130" t="s">
        <v>21</v>
      </c>
      <c r="F60" s="128">
        <f ca="1">F59*$C$13</f>
        <v>1791.0506844410122</v>
      </c>
    </row>
    <row r="61" spans="1:6" outlineLevel="1">
      <c r="B61" s="137" t="e" vm="18">
        <v>#VALUE!</v>
      </c>
      <c r="C61" s="135">
        <f ca="1">$C$12/365</f>
        <v>0.21095890410958903</v>
      </c>
      <c r="E61" s="130" t="s">
        <v>19</v>
      </c>
      <c r="F61" s="127">
        <f ca="1">-$J$46*$C$68+$C$6*$C$63*$C$69</f>
        <v>23.330540678008219</v>
      </c>
    </row>
    <row r="62" spans="1:6" outlineLevel="1">
      <c r="B62" s="137" t="e" vm="20">
        <v>#VALUE!</v>
      </c>
      <c r="C62" s="135">
        <f ca="1">$C$9*SQRT(C61)</f>
        <v>6.9400627094399453E-2</v>
      </c>
      <c r="E62" s="131" t="s">
        <v>22</v>
      </c>
      <c r="F62" s="128">
        <f ca="1">F61*$C$13</f>
        <v>2333.0540678008219</v>
      </c>
    </row>
    <row r="63" spans="1:6" outlineLevel="1">
      <c r="B63" s="137" t="e" vm="22">
        <v>#VALUE!</v>
      </c>
      <c r="C63" s="135">
        <f ca="1">EXP(-C61*C8)</f>
        <v>0.99136706865475588</v>
      </c>
    </row>
    <row r="64" spans="1:6" outlineLevel="1">
      <c r="B64" s="137" t="e" vm="23">
        <v>#VALUE!</v>
      </c>
      <c r="C64" s="135">
        <f ca="1">(C60+($C$8+($C$9^2)/2)*$C$61)/($C$62)</f>
        <v>-7.0721529842715111E-2</v>
      </c>
      <c r="E64" s="160" t="s">
        <v>113</v>
      </c>
      <c r="F64" s="127">
        <f ca="1">F59-'Black-Scholes European'!H36</f>
        <v>-0.14384908400137419</v>
      </c>
    </row>
    <row r="65" spans="1:7" outlineLevel="1">
      <c r="B65" s="137" t="e" vm="24">
        <v>#VALUE!</v>
      </c>
      <c r="C65" s="135">
        <f ca="1">C64-$C$62</f>
        <v>-0.14012215693711455</v>
      </c>
      <c r="E65" s="161" t="s">
        <v>114</v>
      </c>
      <c r="F65" s="127">
        <f ca="1">F61-'Black-Scholes European'!K36</f>
        <v>0.16027738165115579</v>
      </c>
    </row>
    <row r="66" spans="1:7" outlineLevel="1">
      <c r="B66" s="137" t="e" vm="25">
        <v>#VALUE!</v>
      </c>
      <c r="C66" s="135">
        <f ca="1">_xlfn.NORM.S.DIST(C64,TRUE)</f>
        <v>0.471809692701117</v>
      </c>
    </row>
    <row r="67" spans="1:7" outlineLevel="1">
      <c r="B67" s="137" t="e" vm="26">
        <v>#VALUE!</v>
      </c>
      <c r="C67" s="135">
        <f ca="1">_xlfn.NORM.S.DIST(C65,TRUE)</f>
        <v>0.44428173729620524</v>
      </c>
    </row>
    <row r="68" spans="1:7" outlineLevel="1">
      <c r="B68" s="137" t="e" vm="27">
        <v>#VALUE!</v>
      </c>
      <c r="C68" s="135">
        <f ca="1">_xlfn.NORM.S.DIST(-C64,TRUE)</f>
        <v>0.52819030729888294</v>
      </c>
    </row>
    <row r="69" spans="1:7" outlineLevel="1">
      <c r="B69" s="137" t="e" vm="28">
        <v>#VALUE!</v>
      </c>
      <c r="C69" s="135">
        <f ca="1">_xlfn.NORM.S.DIST(-C65,TRUE)</f>
        <v>0.55571826270379476</v>
      </c>
    </row>
    <row r="70" spans="1:7" outlineLevel="1">
      <c r="B70" s="137" t="e" vm="29">
        <v>#VALUE!</v>
      </c>
      <c r="C70" s="135">
        <f ca="1">_xlfn.NORM.S.DIST(C64,FALSE)</f>
        <v>0.39794586497634227</v>
      </c>
    </row>
    <row r="71" spans="1:7" outlineLevel="1">
      <c r="B71" s="138" t="e" vm="30">
        <v>#VALUE!</v>
      </c>
      <c r="C71" s="135">
        <f ca="1">_xlfn.NORM.S.DIST(C65,FALSE)</f>
        <v>0.3950449817813968</v>
      </c>
    </row>
    <row r="72" spans="1:7" outlineLevel="1"/>
    <row r="73" spans="1:7" outlineLevel="1"/>
    <row r="75" spans="1:7" ht="21">
      <c r="A75" t="s">
        <v>9</v>
      </c>
      <c r="B75" s="122" t="s">
        <v>115</v>
      </c>
      <c r="C75" s="116"/>
      <c r="D75" s="116"/>
      <c r="E75" s="116"/>
      <c r="F75" s="116"/>
    </row>
    <row r="76" spans="1:7" outlineLevel="1">
      <c r="B76" s="139"/>
    </row>
    <row r="77" spans="1:7" outlineLevel="1">
      <c r="B77" s="141" t="s">
        <v>116</v>
      </c>
      <c r="C77" s="141" t="s">
        <v>117</v>
      </c>
      <c r="D77" s="141" t="s">
        <v>118</v>
      </c>
      <c r="E77" s="141" t="s">
        <v>119</v>
      </c>
      <c r="F77" s="141" t="s">
        <v>120</v>
      </c>
      <c r="G77" s="226" t="s">
        <v>122</v>
      </c>
    </row>
    <row r="78" spans="1:7" outlineLevel="1">
      <c r="B78" s="142" t="s">
        <v>121</v>
      </c>
      <c r="C78" s="145">
        <f>1/12</f>
        <v>8.3333333333333329E-2</v>
      </c>
      <c r="D78" s="146">
        <f>3/12</f>
        <v>0.25</v>
      </c>
      <c r="E78" s="146">
        <f>6/12</f>
        <v>0.5</v>
      </c>
      <c r="F78" s="146">
        <f>12/12</f>
        <v>1</v>
      </c>
      <c r="G78" s="226"/>
    </row>
    <row r="79" spans="1:7" outlineLevel="1">
      <c r="B79" s="141">
        <v>650</v>
      </c>
      <c r="C79" s="147">
        <v>0.28010000000000002</v>
      </c>
      <c r="D79" s="147">
        <v>0.25119999999999998</v>
      </c>
      <c r="E79" s="147">
        <v>0.24199999999999999</v>
      </c>
      <c r="F79" s="147">
        <v>0.23139999999999999</v>
      </c>
      <c r="G79" s="151">
        <f t="shared" ref="G79:G84" ca="1" si="5">IF($C$61&lt;=C$78,C79,IF($C$61&lt;=D$78,$C79+($D79-$C79)*($C$61-C$78)/(D$78-C$78),IF($C$61&lt;=E$78,$D79+($E79-$D79)*($C$61-D$78)/(E$78-D$78),IF($C$61&lt;=F$78,$E79+($F79-$E79)*($C$61-E$78)/(F$78-E$78),$F79))))</f>
        <v>0.25796972602739726</v>
      </c>
    </row>
    <row r="80" spans="1:7" outlineLevel="1">
      <c r="B80" s="141">
        <v>700</v>
      </c>
      <c r="C80" s="147">
        <v>0.2142</v>
      </c>
      <c r="D80" s="147">
        <v>0.20749999999999999</v>
      </c>
      <c r="E80" s="147">
        <v>0.2054</v>
      </c>
      <c r="F80" s="147">
        <v>0.2089</v>
      </c>
      <c r="G80" s="151">
        <f t="shared" ca="1" si="5"/>
        <v>0.20906945205479452</v>
      </c>
    </row>
    <row r="81" spans="2:7" outlineLevel="1">
      <c r="B81" s="141">
        <v>750</v>
      </c>
      <c r="C81" s="147">
        <v>0.15570000000000001</v>
      </c>
      <c r="D81" s="147">
        <v>0.16639999999999999</v>
      </c>
      <c r="E81" s="147">
        <v>0.1709</v>
      </c>
      <c r="F81" s="147">
        <v>0.1867</v>
      </c>
      <c r="G81" s="151">
        <f t="shared" ca="1" si="5"/>
        <v>0.16389356164383562</v>
      </c>
    </row>
    <row r="82" spans="2:7" outlineLevel="1">
      <c r="B82" s="141">
        <v>770</v>
      </c>
      <c r="C82" s="147">
        <v>0.13850000000000001</v>
      </c>
      <c r="D82" s="147">
        <v>0.153</v>
      </c>
      <c r="E82" s="147">
        <v>0.15890000000000001</v>
      </c>
      <c r="F82" s="147">
        <v>0.17799999999999999</v>
      </c>
      <c r="G82" s="151">
        <f t="shared" ca="1" si="5"/>
        <v>0.14960342465753423</v>
      </c>
    </row>
    <row r="83" spans="2:7" outlineLevel="1">
      <c r="B83" s="141">
        <v>800</v>
      </c>
      <c r="C83" s="147">
        <v>0.11799999999999999</v>
      </c>
      <c r="D83" s="147">
        <v>0.1391</v>
      </c>
      <c r="E83" s="147">
        <v>0.14779999999999999</v>
      </c>
      <c r="F83" s="147">
        <v>0.18529999999999999</v>
      </c>
      <c r="G83" s="151">
        <f t="shared" ca="1" si="5"/>
        <v>0.13415739726027398</v>
      </c>
    </row>
    <row r="84" spans="2:7" outlineLevel="1">
      <c r="B84" s="141">
        <v>850</v>
      </c>
      <c r="C84" s="147">
        <v>0.12570000000000001</v>
      </c>
      <c r="D84" s="147">
        <v>0.1275</v>
      </c>
      <c r="E84" s="147">
        <v>0.13400000000000001</v>
      </c>
      <c r="F84" s="147">
        <v>0.16589999999999999</v>
      </c>
      <c r="G84" s="151">
        <f t="shared" ca="1" si="5"/>
        <v>0.12707835616438357</v>
      </c>
    </row>
    <row r="85" spans="2:7" outlineLevel="1">
      <c r="C85" s="156" t="s">
        <v>124</v>
      </c>
      <c r="D85" s="156" t="s">
        <v>125</v>
      </c>
      <c r="E85" s="156" t="s">
        <v>126</v>
      </c>
      <c r="F85" s="156" t="s">
        <v>127</v>
      </c>
    </row>
    <row r="86" spans="2:7" outlineLevel="1"/>
    <row r="87" spans="2:7" outlineLevel="1">
      <c r="B87" s="229" t="s">
        <v>123</v>
      </c>
      <c r="C87" s="229"/>
      <c r="D87" s="152">
        <f ca="1">IF($C$6&lt;=B79,G79,IF($C$6&lt;=B80,G79+(G80-G79)*($C$6-B79)/(B80-B79),IF($C$6&lt;=B81,G80+(G81-G80)*($C$6-B80)/(B81-B80),IF($C$6&lt;=B82,G81+(G82-G81)*($C$6-B81)/(B82-B81),IF($C$6&lt;=B83,G82+(G83-G82)*($C$6-B82)/(B83-B82),IF($C$6&lt;=B84,G83+(G84-G83)*($C$6-B83)/(B84-B83),G84))))))</f>
        <v>0.16389356164383562</v>
      </c>
    </row>
    <row r="88" spans="2:7" outlineLevel="1"/>
    <row r="89" spans="2:7" outlineLevel="1"/>
    <row r="90" spans="2:7" outlineLevel="1"/>
    <row r="91" spans="2:7" outlineLevel="1">
      <c r="B91" s="136" t="e" vm="23">
        <v>#VALUE!</v>
      </c>
      <c r="C91" s="135">
        <f ca="1">($C$60+($C$8+($D$87^2)/2)*$C$61)/($D$87*SQRT($C$61))</f>
        <v>-5.9554223065546578E-2</v>
      </c>
      <c r="E91" s="157" t="s">
        <v>18</v>
      </c>
      <c r="F91" s="155">
        <f ca="1">C93*$J$46-$C$6*$C$63*C94</f>
        <v>19.637133050756347</v>
      </c>
    </row>
    <row r="92" spans="2:7" outlineLevel="1">
      <c r="B92" s="137" t="e" vm="24">
        <v>#VALUE!</v>
      </c>
      <c r="C92" s="135">
        <f ca="1">C91-$D$87*SQRT(C61)</f>
        <v>-0.13483096664474448</v>
      </c>
      <c r="E92" s="158" t="s">
        <v>19</v>
      </c>
      <c r="F92" s="155">
        <f ca="1">-C95*$J$46+$C$6*$C$63*C96</f>
        <v>25.057166884354331</v>
      </c>
    </row>
    <row r="93" spans="2:7" outlineLevel="1">
      <c r="B93" s="137" t="e" vm="25">
        <v>#VALUE!</v>
      </c>
      <c r="C93" s="135">
        <f ca="1">_xlfn.NORM.S.DIST(C91,TRUE)</f>
        <v>0.47625533915808488</v>
      </c>
    </row>
    <row r="94" spans="2:7" outlineLevel="1">
      <c r="B94" s="137" t="e" vm="26">
        <v>#VALUE!</v>
      </c>
      <c r="C94" s="135">
        <f ca="1">_xlfn.NORM.S.DIST(C92,TRUE)</f>
        <v>0.44637276077390897</v>
      </c>
      <c r="E94" s="132" t="s">
        <v>128</v>
      </c>
      <c r="F94" s="127">
        <f ca="1">F91-F59</f>
        <v>1.726626206346225</v>
      </c>
    </row>
    <row r="95" spans="2:7" outlineLevel="1">
      <c r="B95" s="137" t="e" vm="27">
        <v>#VALUE!</v>
      </c>
      <c r="C95" s="135">
        <f ca="1">_xlfn.NORM.S.DIST(-C91,TRUE)</f>
        <v>0.52374466084191518</v>
      </c>
      <c r="E95" s="133" t="s">
        <v>129</v>
      </c>
      <c r="F95" s="127">
        <f ca="1">F92-F61</f>
        <v>1.7266262063461113</v>
      </c>
    </row>
    <row r="96" spans="2:7" outlineLevel="1">
      <c r="B96" s="153" t="e" vm="28">
        <v>#VALUE!</v>
      </c>
      <c r="C96" s="135">
        <f ca="1">_xlfn.NORM.S.DIST(-C92,TRUE)</f>
        <v>0.55362723922609103</v>
      </c>
    </row>
    <row r="97" spans="1:6" outlineLevel="1"/>
    <row r="98" spans="1:6" outlineLevel="1"/>
    <row r="99" spans="1:6" outlineLevel="1"/>
    <row r="101" spans="1:6" ht="21">
      <c r="A101" t="s">
        <v>208</v>
      </c>
      <c r="B101" s="122" t="s">
        <v>141</v>
      </c>
      <c r="C101" s="116"/>
      <c r="D101" s="116"/>
      <c r="E101" s="116"/>
      <c r="F101" s="116"/>
    </row>
    <row r="102" spans="1:6" outlineLevel="1"/>
    <row r="103" spans="1:6" outlineLevel="1">
      <c r="B103" s="140" t="s">
        <v>133</v>
      </c>
    </row>
    <row r="104" spans="1:6" outlineLevel="1"/>
    <row r="105" spans="1:6" outlineLevel="1">
      <c r="B105" s="136" t="s">
        <v>131</v>
      </c>
      <c r="C105" s="162">
        <f ca="1">NETWORKDAYS(C11+1,C7)</f>
        <v>55</v>
      </c>
      <c r="E105" s="157" t="s">
        <v>18</v>
      </c>
      <c r="F105" s="155">
        <f ca="1">C109*$J$46-$C$6*$C$63*C110</f>
        <v>20.01648542592244</v>
      </c>
    </row>
    <row r="106" spans="1:6" outlineLevel="1">
      <c r="B106" s="137" t="s">
        <v>132</v>
      </c>
      <c r="C106" s="163">
        <f ca="1">$C$105/252</f>
        <v>0.21825396825396826</v>
      </c>
      <c r="D106" t="s">
        <v>66</v>
      </c>
      <c r="E106" s="158" t="s">
        <v>19</v>
      </c>
      <c r="F106" s="155">
        <f ca="1">-C111*$J$46+$C$6*$C$63*C112</f>
        <v>25.436519259520423</v>
      </c>
    </row>
    <row r="107" spans="1:6" outlineLevel="1">
      <c r="B107" s="137" t="e" vm="23">
        <v>#VALUE!</v>
      </c>
      <c r="C107" s="163">
        <f ca="1">($C$60+($C$8)*$C$61+(($D$87^2)/2)*$C$106)/($D$87*SQRT(C106))</f>
        <v>-5.7270857724704416E-2</v>
      </c>
    </row>
    <row r="108" spans="1:6" outlineLevel="1">
      <c r="B108" s="137" t="e" vm="24">
        <v>#VALUE!</v>
      </c>
      <c r="C108" s="163">
        <f ca="1">C107-$D$87*SQRT(C106)</f>
        <v>-0.13383809332898708</v>
      </c>
      <c r="E108" s="132" t="s">
        <v>146</v>
      </c>
      <c r="F108" s="127">
        <f ca="1">F105-F91</f>
        <v>0.37935237516609277</v>
      </c>
    </row>
    <row r="109" spans="1:6" outlineLevel="1">
      <c r="B109" s="137" t="e" vm="25">
        <v>#VALUE!</v>
      </c>
      <c r="C109" s="163">
        <f ca="1">_xlfn.NORM.S.DIST(C107,TRUE)</f>
        <v>0.47716471720256481</v>
      </c>
      <c r="E109" s="133" t="s">
        <v>147</v>
      </c>
      <c r="F109" s="127">
        <f ca="1">F106-F92</f>
        <v>0.37935237516609277</v>
      </c>
    </row>
    <row r="110" spans="1:6" outlineLevel="1">
      <c r="B110" s="137" t="e" vm="26">
        <v>#VALUE!</v>
      </c>
      <c r="C110" s="163">
        <f ca="1">_xlfn.NORM.S.DIST(C108,TRUE)</f>
        <v>0.44676530202189507</v>
      </c>
    </row>
    <row r="111" spans="1:6" outlineLevel="1">
      <c r="B111" s="137" t="e" vm="27">
        <v>#VALUE!</v>
      </c>
      <c r="C111" s="163">
        <f ca="1">_xlfn.NORM.S.DIST(-C107,TRUE)</f>
        <v>0.52283528279743519</v>
      </c>
    </row>
    <row r="112" spans="1:6" outlineLevel="1">
      <c r="B112" s="153" t="e" vm="28">
        <v>#VALUE!</v>
      </c>
      <c r="C112" s="163">
        <f ca="1">_xlfn.NORM.S.DIST(-C108,TRUE)</f>
        <v>0.55323469797810487</v>
      </c>
    </row>
    <row r="113" spans="1:6" outlineLevel="1">
      <c r="B113" s="71" t="s">
        <v>130</v>
      </c>
    </row>
    <row r="114" spans="1:6" outlineLevel="1"/>
    <row r="115" spans="1:6" outlineLevel="1">
      <c r="B115" s="140" t="s">
        <v>134</v>
      </c>
    </row>
    <row r="116" spans="1:6" outlineLevel="1">
      <c r="B116" s="141" t="s">
        <v>135</v>
      </c>
      <c r="C116" s="141" t="s">
        <v>117</v>
      </c>
      <c r="D116" s="141" t="s">
        <v>118</v>
      </c>
      <c r="E116" s="141" t="s">
        <v>119</v>
      </c>
      <c r="F116" s="141" t="s">
        <v>120</v>
      </c>
    </row>
    <row r="117" spans="1:6" outlineLevel="1">
      <c r="B117" s="142" t="s">
        <v>121</v>
      </c>
      <c r="C117" s="145">
        <f>1/12</f>
        <v>8.3333333333333329E-2</v>
      </c>
      <c r="D117" s="146">
        <f>3/12</f>
        <v>0.25</v>
      </c>
      <c r="E117" s="146">
        <f>6/12</f>
        <v>0.5</v>
      </c>
      <c r="F117" s="146">
        <f>12/12</f>
        <v>1</v>
      </c>
    </row>
    <row r="118" spans="1:6" outlineLevel="1">
      <c r="B118" s="141" t="s">
        <v>136</v>
      </c>
      <c r="C118" s="147">
        <v>3.7999999999999999E-2</v>
      </c>
      <c r="D118" s="147">
        <v>3.9E-2</v>
      </c>
      <c r="E118" s="147">
        <v>3.9899999999999998E-2</v>
      </c>
      <c r="F118" s="147">
        <v>4.0599999999999997E-2</v>
      </c>
    </row>
    <row r="119" spans="1:6" outlineLevel="1">
      <c r="B119" s="71" t="s">
        <v>137</v>
      </c>
    </row>
    <row r="120" spans="1:6" outlineLevel="1">
      <c r="B120" s="71" t="s">
        <v>138</v>
      </c>
    </row>
    <row r="121" spans="1:6" outlineLevel="1"/>
    <row r="122" spans="1:6" outlineLevel="1">
      <c r="B122" s="229" t="s">
        <v>139</v>
      </c>
      <c r="C122" s="229"/>
      <c r="D122" s="151">
        <f ca="1">IF($C$61&lt;=C$117,C118,IF($C$61&lt;=D$117,$C118+($D118-$C118)*($C$61-C$117)/(D$117-C$117),IF($C$61&lt;=E$117,$D118+($E118-$D118)*($C$61-D$117)/(E$117-D$117),IF($C$61&lt;=F$117,$E118+($F118-$E118)*($C$61-E$117)/(F$117-E$117),$F118))))</f>
        <v>3.8765753424657531E-2</v>
      </c>
      <c r="E122" s="71" t="s">
        <v>140</v>
      </c>
    </row>
    <row r="123" spans="1:6" outlineLevel="1"/>
    <row r="125" spans="1:6" ht="21">
      <c r="A125" t="s">
        <v>10</v>
      </c>
      <c r="B125" s="122" t="s">
        <v>192</v>
      </c>
      <c r="C125" s="116"/>
      <c r="D125" s="116"/>
      <c r="E125" s="116"/>
      <c r="F125" s="116"/>
    </row>
    <row r="126" spans="1:6" outlineLevel="1"/>
    <row r="127" spans="1:6" outlineLevel="1"/>
    <row r="128" spans="1:6" outlineLevel="1">
      <c r="B128" s="136" t="s">
        <v>145</v>
      </c>
      <c r="C128" s="164">
        <f ca="1">J46</f>
        <v>738.10526765746886</v>
      </c>
      <c r="E128" s="208" t="s">
        <v>18</v>
      </c>
      <c r="F128" s="155">
        <f ca="1">C135*$J$46-$C$6*$C$132*C136</f>
        <v>19.853334602169866</v>
      </c>
    </row>
    <row r="129" spans="2:6" outlineLevel="1">
      <c r="B129" s="47" t="s">
        <v>142</v>
      </c>
      <c r="C129" s="165">
        <f ca="1">$D$122</f>
        <v>3.8765753424657531E-2</v>
      </c>
      <c r="E129" s="209" t="s">
        <v>21</v>
      </c>
      <c r="F129" s="166">
        <f ca="1">F128*$C$13</f>
        <v>1985.3334602169866</v>
      </c>
    </row>
    <row r="130" spans="2:6" outlineLevel="1">
      <c r="B130" s="137" t="s">
        <v>143</v>
      </c>
      <c r="C130" s="165">
        <f ca="1">$D$87</f>
        <v>0.16389356164383562</v>
      </c>
      <c r="E130" s="209" t="s">
        <v>23</v>
      </c>
      <c r="F130" s="154">
        <f ca="1">MAX($J$46-$C$6,0)</f>
        <v>0</v>
      </c>
    </row>
    <row r="131" spans="2:6" outlineLevel="1">
      <c r="B131" s="137" t="s">
        <v>144</v>
      </c>
      <c r="C131" s="163">
        <f ca="1">$C$105/252</f>
        <v>0.21825396825396826</v>
      </c>
      <c r="E131" s="210" t="s">
        <v>25</v>
      </c>
      <c r="F131" s="154">
        <f ca="1">F128-F130</f>
        <v>19.853334602169866</v>
      </c>
    </row>
    <row r="132" spans="2:6" outlineLevel="1">
      <c r="B132" s="137" t="e" vm="22">
        <v>#VALUE!</v>
      </c>
      <c r="C132" s="163">
        <f ca="1">EXP(-D122*C61)</f>
        <v>0.9918553678557156</v>
      </c>
    </row>
    <row r="133" spans="2:6" outlineLevel="1">
      <c r="B133" s="137" t="e" vm="23">
        <v>#VALUE!</v>
      </c>
      <c r="C133" s="163">
        <f ca="1">($C$60+($D$122)*$C$61+(($D$87^2)/2)*$C$131)/($D$87*SQRT($C$131))</f>
        <v>-6.3702200002761861E-2</v>
      </c>
      <c r="E133" s="208" t="s">
        <v>19</v>
      </c>
      <c r="F133" s="155">
        <f ca="1">-C137*$J$46+$C$6*$C$132*C138</f>
        <v>25.639592836487736</v>
      </c>
    </row>
    <row r="134" spans="2:6" outlineLevel="1">
      <c r="B134" s="137" t="e" vm="24">
        <v>#VALUE!</v>
      </c>
      <c r="C134" s="163">
        <f ca="1">C133-$D$87*SQRT(C131)</f>
        <v>-0.14026943560704452</v>
      </c>
      <c r="E134" s="209" t="s">
        <v>22</v>
      </c>
      <c r="F134" s="166">
        <f ca="1">F133*$C$13</f>
        <v>2563.9592836487736</v>
      </c>
    </row>
    <row r="135" spans="2:6" outlineLevel="1">
      <c r="B135" s="137" t="e" vm="25">
        <v>#VALUE!</v>
      </c>
      <c r="C135" s="163">
        <f ca="1">_xlfn.NORM.S.DIST(C133,TRUE)</f>
        <v>0.47460367647912116</v>
      </c>
      <c r="E135" s="209" t="s">
        <v>148</v>
      </c>
      <c r="F135" s="154">
        <f ca="1">MAX(-$J$46+$C$6,0)</f>
        <v>11.894732342531142</v>
      </c>
    </row>
    <row r="136" spans="2:6" outlineLevel="1">
      <c r="B136" s="137" t="e" vm="26">
        <v>#VALUE!</v>
      </c>
      <c r="C136" s="163">
        <f ca="1">_xlfn.NORM.S.DIST(C134,TRUE)</f>
        <v>0.44422355619728016</v>
      </c>
      <c r="E136" s="210" t="s">
        <v>26</v>
      </c>
      <c r="F136" s="154">
        <f ca="1">F133-F135</f>
        <v>13.744860493956594</v>
      </c>
    </row>
    <row r="137" spans="2:6" outlineLevel="1">
      <c r="B137" s="137" t="e" vm="27">
        <v>#VALUE!</v>
      </c>
      <c r="C137" s="163">
        <f ca="1">_xlfn.NORM.S.DIST(-C133,TRUE)</f>
        <v>0.52539632352087884</v>
      </c>
    </row>
    <row r="138" spans="2:6" outlineLevel="1">
      <c r="B138" s="137" t="e" vm="28">
        <v>#VALUE!</v>
      </c>
      <c r="C138" s="163">
        <f ca="1">_xlfn.NORM.S.DIST(-C134,TRUE)</f>
        <v>0.55577644380271984</v>
      </c>
    </row>
    <row r="139" spans="2:6" outlineLevel="1">
      <c r="B139" s="137" t="e" vm="29">
        <v>#VALUE!</v>
      </c>
      <c r="C139" s="135">
        <f ca="1">_xlfn.NORM.S.DIST(C133,FALSE)</f>
        <v>0.39813365306558179</v>
      </c>
    </row>
    <row r="140" spans="2:6" outlineLevel="1">
      <c r="B140" s="138" t="e" vm="30">
        <v>#VALUE!</v>
      </c>
      <c r="C140" s="135">
        <f ca="1">_xlfn.NORM.S.DIST(C134,FALSE)</f>
        <v>0.39503682503591975</v>
      </c>
    </row>
    <row r="141" spans="2:6" outlineLevel="1"/>
    <row r="142" spans="2:6" outlineLevel="1"/>
    <row r="143" spans="2:6" ht="18.75" outlineLevel="1">
      <c r="B143" s="171" t="s">
        <v>149</v>
      </c>
      <c r="C143" s="167"/>
      <c r="D143" s="167"/>
      <c r="E143" s="167"/>
      <c r="F143" s="167"/>
    </row>
    <row r="144" spans="2:6" outlineLevel="1"/>
    <row r="145" spans="1:7" outlineLevel="1">
      <c r="F145" s="230" t="s">
        <v>68</v>
      </c>
      <c r="G145" s="230"/>
    </row>
    <row r="146" spans="1:7" outlineLevel="1">
      <c r="B146" s="236" t="s">
        <v>150</v>
      </c>
      <c r="C146" s="237"/>
      <c r="D146" s="151">
        <f ca="1">C136</f>
        <v>0.44422355619728016</v>
      </c>
      <c r="F146" s="174" t="s">
        <v>157</v>
      </c>
      <c r="G146" s="172">
        <f ca="1">F128-F133</f>
        <v>-5.7862582343178701</v>
      </c>
    </row>
    <row r="147" spans="1:7" outlineLevel="1">
      <c r="B147" s="238" t="s">
        <v>151</v>
      </c>
      <c r="C147" s="239"/>
      <c r="D147" s="127">
        <f ca="1">F128+$C$6</f>
        <v>769.85333460216987</v>
      </c>
      <c r="F147" s="175" t="s">
        <v>158</v>
      </c>
      <c r="G147" s="172">
        <f ca="1">J46-C6*C132</f>
        <v>-5.7862582343178701</v>
      </c>
    </row>
    <row r="148" spans="1:7" outlineLevel="1">
      <c r="B148" s="234" t="s">
        <v>152</v>
      </c>
      <c r="C148" s="235"/>
      <c r="D148" s="151">
        <f ca="1">_xlfn.NORM.S.DIST((LN($J$46/$D$147)+($C$129*$C$61)-($C$130^2/2)*$C$131)/($C$130*SQRT($C$131)),TRUE)</f>
        <v>0.31508182127679341</v>
      </c>
      <c r="G148" s="178" t="str">
        <f ca="1">IF((G146-G147)=0,"PARITY HOLDS","ERROR")</f>
        <v>PARITY HOLDS</v>
      </c>
    </row>
    <row r="149" spans="1:7" outlineLevel="1"/>
    <row r="150" spans="1:7" outlineLevel="1">
      <c r="B150" s="236" t="s">
        <v>153</v>
      </c>
      <c r="C150" s="237"/>
      <c r="D150" s="151">
        <f ca="1">C138</f>
        <v>0.55577644380271984</v>
      </c>
      <c r="F150" s="176" t="s">
        <v>159</v>
      </c>
      <c r="G150" s="50">
        <f ca="1">F128+C6*C132</f>
        <v>763.74486049395659</v>
      </c>
    </row>
    <row r="151" spans="1:7" outlineLevel="1">
      <c r="B151" s="238" t="s">
        <v>154</v>
      </c>
      <c r="C151" s="239"/>
      <c r="D151" s="127">
        <f ca="1">-F133+$C$6</f>
        <v>724.36040716351226</v>
      </c>
      <c r="F151" s="177" t="s">
        <v>160</v>
      </c>
      <c r="G151" s="50">
        <f ca="1">F133+C128</f>
        <v>763.74486049395659</v>
      </c>
    </row>
    <row r="152" spans="1:7" outlineLevel="1">
      <c r="B152" s="234" t="s">
        <v>155</v>
      </c>
      <c r="C152" s="235"/>
      <c r="D152" s="151">
        <f ca="1">_xlfn.NORM.S.DIST(-(LN($J$46/$D$151)+($C$129*$C$61)-($C$130^2/2)*$C$131)/($C$130*SQRT($C$131)),TRUE)</f>
        <v>0.37675068354011398</v>
      </c>
      <c r="G152" s="178" t="str">
        <f ca="1">IF((G150-G151)=0,"PARITY HOLDS","ERROR")</f>
        <v>PARITY HOLDS</v>
      </c>
    </row>
    <row r="153" spans="1:7" outlineLevel="1"/>
    <row r="154" spans="1:7" outlineLevel="1"/>
    <row r="155" spans="1:7" ht="18.75" outlineLevel="1">
      <c r="B155" s="171" t="s">
        <v>161</v>
      </c>
      <c r="C155" s="167"/>
      <c r="D155" s="167"/>
      <c r="E155" s="167"/>
      <c r="F155" s="167"/>
    </row>
    <row r="156" spans="1:7" outlineLevel="1"/>
    <row r="157" spans="1:7" outlineLevel="1">
      <c r="B157" s="180" t="s">
        <v>162</v>
      </c>
      <c r="C157" s="180" t="s">
        <v>156</v>
      </c>
      <c r="D157" s="180" t="s">
        <v>7</v>
      </c>
    </row>
    <row r="158" spans="1:7" outlineLevel="1">
      <c r="A158" s="23"/>
      <c r="B158" s="159" t="s">
        <v>163</v>
      </c>
      <c r="C158" s="182">
        <f ca="1">C135</f>
        <v>0.47460367647912116</v>
      </c>
      <c r="D158" s="182">
        <f ca="1">C158-1</f>
        <v>-0.52539632352087884</v>
      </c>
      <c r="F158" s="176" t="s">
        <v>44</v>
      </c>
      <c r="G158" s="50">
        <f ca="1">C158*(C128/F128)</f>
        <v>17.644767525378516</v>
      </c>
    </row>
    <row r="159" spans="1:7" outlineLevel="1">
      <c r="A159" s="23"/>
      <c r="B159" s="159" t="s">
        <v>164</v>
      </c>
      <c r="C159" s="183">
        <f ca="1">$C$139/($C$128*$C$130*SQRT($C$131))</f>
        <v>7.0447829406854751E-3</v>
      </c>
      <c r="D159" s="183">
        <f ca="1">$C$139/($C$128*$C$130*SQRT($C$131))</f>
        <v>7.0447829406854751E-3</v>
      </c>
      <c r="F159" s="177" t="s">
        <v>169</v>
      </c>
      <c r="G159" s="50">
        <f ca="1">ABS(G158)</f>
        <v>17.644767525378516</v>
      </c>
    </row>
    <row r="160" spans="1:7" outlineLevel="1">
      <c r="A160" s="23"/>
      <c r="B160" s="159" t="s">
        <v>165</v>
      </c>
      <c r="C160" s="184">
        <f ca="1">(-($C$128*$C$139*$C$130)/(2*SQRT($C$131))-$C$129*$C$6*$C$132*$C$136)/365</f>
        <v>-0.17631963110823384</v>
      </c>
      <c r="D160" s="184">
        <f ca="1">(-($C$128*$C$139*$C$130)/(2*SQRT($C$131))+$C$129*$C$6*$C$132*$C$138)/365</f>
        <v>-9.7312739416690677E-2</v>
      </c>
    </row>
    <row r="161" spans="1:7" outlineLevel="1">
      <c r="A161" s="181"/>
      <c r="B161" s="159" t="s">
        <v>166</v>
      </c>
      <c r="C161" s="185">
        <f ca="1">$C$128*$C$139*SQRT($C$131)/100</f>
        <v>1.372866374156734</v>
      </c>
      <c r="D161" s="185">
        <f ca="1">$C$128*$C$139*SQRT($C$131)/100</f>
        <v>1.372866374156734</v>
      </c>
      <c r="F161" s="176" t="s">
        <v>45</v>
      </c>
      <c r="G161" s="50">
        <f ca="1">D158*(C128/F133)</f>
        <v>-15.12495913924003</v>
      </c>
    </row>
    <row r="162" spans="1:7" outlineLevel="1">
      <c r="A162" s="23"/>
      <c r="B162" s="159" t="s">
        <v>167</v>
      </c>
      <c r="C162" s="186">
        <f ca="1">$C$6*$C$61*$C$132*$C$136/100</f>
        <v>0.69712243033872967</v>
      </c>
      <c r="D162" s="186">
        <f ca="1">-$C$6*$C$61*$C$132*$C$138/100</f>
        <v>-0.8721829804466833</v>
      </c>
      <c r="F162" s="177" t="s">
        <v>170</v>
      </c>
      <c r="G162" s="50">
        <f ca="1">ABS(G161)</f>
        <v>15.12495913924003</v>
      </c>
    </row>
    <row r="163" spans="1:7" outlineLevel="1">
      <c r="A163" s="23"/>
      <c r="B163" s="159" t="s">
        <v>168</v>
      </c>
      <c r="C163" s="187">
        <f ca="1">-$C$61*$C$128*$C$135/100</f>
        <v>-0.73900480744467711</v>
      </c>
      <c r="D163" s="187">
        <f ca="1">-$C$61*$C$128*$C$137/100</f>
        <v>-0.81809397638066816</v>
      </c>
    </row>
    <row r="164" spans="1:7" outlineLevel="1"/>
    <row r="166" spans="1:7" ht="21">
      <c r="A166" t="s">
        <v>10</v>
      </c>
      <c r="B166" s="122" t="s">
        <v>205</v>
      </c>
      <c r="C166" s="122"/>
      <c r="D166" s="122"/>
      <c r="E166" s="122"/>
      <c r="F166" s="122"/>
    </row>
    <row r="167" spans="1:7" outlineLevel="1"/>
    <row r="168" spans="1:7" outlineLevel="1">
      <c r="B168" s="189" t="s">
        <v>171</v>
      </c>
      <c r="C168" s="196">
        <v>24.67</v>
      </c>
      <c r="E168" s="193" t="s">
        <v>177</v>
      </c>
      <c r="F168" s="191">
        <f ca="1">$C$183</f>
        <v>0.19895204429552293</v>
      </c>
      <c r="G168" s="194" t="str">
        <f ca="1">IF(ABS(F183)&lt;0.01,"Converged", "Did Not Converge")</f>
        <v>Converged</v>
      </c>
    </row>
    <row r="169" spans="1:7" outlineLevel="1">
      <c r="B169" s="190" t="s">
        <v>172</v>
      </c>
      <c r="C169" s="196">
        <v>33</v>
      </c>
      <c r="E169" s="193" t="s">
        <v>178</v>
      </c>
      <c r="F169" s="191">
        <f ca="1">C198</f>
        <v>0.21745257442307506</v>
      </c>
      <c r="G169" s="194" t="str">
        <f ca="1">IF(ABS(F198)&lt;0.01,"Converged", "Did Not Converge")</f>
        <v>Converged</v>
      </c>
    </row>
    <row r="170" spans="1:7" outlineLevel="1"/>
    <row r="171" spans="1:7" outlineLevel="1"/>
    <row r="172" spans="1:7" outlineLevel="1">
      <c r="B172" s="141" t="s">
        <v>173</v>
      </c>
      <c r="C172" s="141" t="s">
        <v>174</v>
      </c>
      <c r="D172" s="141" t="s">
        <v>175</v>
      </c>
      <c r="E172" s="141" t="s">
        <v>32</v>
      </c>
      <c r="F172" s="141" t="s">
        <v>176</v>
      </c>
    </row>
    <row r="173" spans="1:7" outlineLevel="1">
      <c r="B173" s="195">
        <v>0</v>
      </c>
      <c r="C173" s="197">
        <f>C9</f>
        <v>0.15110000000000001</v>
      </c>
      <c r="D173" s="127">
        <f t="shared" ref="D173:D183" ca="1" si="6">$C$128*_xlfn.NORM.S.DIST((LN($C$128/$C$6)+$C$129*$C$61+(C173^2/2)*$C$131)/(C173*SQRT($C$131)),TRUE)-$C$6*$C$132*_xlfn.NORM.S.DIST((LN($C$128/$C$6)+$C$129*$C$61-(C173^2/2)*$C$131)/(C173*SQRT($C$131)),TRUE)</f>
        <v>18.097624894183639</v>
      </c>
      <c r="E173" s="127">
        <f t="shared" ref="E173:E183" ca="1" si="7">$C$128*_xlfn.NORM.S.DIST((LN($C$128/$C$6)+$C$129*$C$61+(C173^2/2)*$C$131)/(C173*SQRT($C$131)),FALSE)*SQRT($C$131)</f>
        <v>137.17575509580345</v>
      </c>
      <c r="F173" s="127">
        <f ca="1">D173-$C$168</f>
        <v>-6.5723751058163629</v>
      </c>
    </row>
    <row r="174" spans="1:7" outlineLevel="1">
      <c r="B174" s="44">
        <f>B173+1</f>
        <v>1</v>
      </c>
      <c r="C174" s="191">
        <f t="shared" ref="C174:C180" ca="1" si="8">C173-F173/(E173)</f>
        <v>0.19901207528783948</v>
      </c>
      <c r="D174" s="127">
        <f t="shared" ca="1" si="6"/>
        <v>24.678252380601236</v>
      </c>
      <c r="E174" s="127">
        <f t="shared" ca="1" si="7"/>
        <v>137.46877031119809</v>
      </c>
      <c r="F174" s="127">
        <f ca="1">D174-$C$168</f>
        <v>8.2523806012346768E-3</v>
      </c>
    </row>
    <row r="175" spans="1:7" outlineLevel="1">
      <c r="B175" s="44">
        <f t="shared" ref="B175:B180" si="9">B174+1</f>
        <v>2</v>
      </c>
      <c r="C175" s="191">
        <f t="shared" ca="1" si="8"/>
        <v>0.19895204433984634</v>
      </c>
      <c r="D175" s="127">
        <f t="shared" ca="1" si="6"/>
        <v>24.670000006093005</v>
      </c>
      <c r="E175" s="127">
        <f t="shared" ca="1" si="7"/>
        <v>137.46856726390308</v>
      </c>
      <c r="F175" s="127">
        <f t="shared" ref="F175:F180" ca="1" si="10">D175-$C$168</f>
        <v>6.0930034351258655E-9</v>
      </c>
    </row>
    <row r="176" spans="1:7" outlineLevel="1">
      <c r="B176" s="44">
        <f t="shared" si="9"/>
        <v>3</v>
      </c>
      <c r="C176" s="191">
        <f t="shared" ca="1" si="8"/>
        <v>0.19895204429552346</v>
      </c>
      <c r="D176" s="127">
        <f t="shared" ca="1" si="6"/>
        <v>24.670000000000073</v>
      </c>
      <c r="E176" s="127">
        <f t="shared" ca="1" si="7"/>
        <v>137.46856726375307</v>
      </c>
      <c r="F176" s="127">
        <f t="shared" ca="1" si="10"/>
        <v>7.1054273576010019E-14</v>
      </c>
    </row>
    <row r="177" spans="2:6" outlineLevel="1">
      <c r="B177" s="44">
        <f t="shared" si="9"/>
        <v>4</v>
      </c>
      <c r="C177" s="191">
        <f t="shared" ca="1" si="8"/>
        <v>0.19895204429552293</v>
      </c>
      <c r="D177" s="127">
        <f t="shared" ca="1" si="6"/>
        <v>24.670000000000016</v>
      </c>
      <c r="E177" s="127">
        <f t="shared" ca="1" si="7"/>
        <v>137.46856726375307</v>
      </c>
      <c r="F177" s="127">
        <f t="shared" ca="1" si="10"/>
        <v>0</v>
      </c>
    </row>
    <row r="178" spans="2:6" outlineLevel="1">
      <c r="B178" s="44">
        <f t="shared" si="9"/>
        <v>5</v>
      </c>
      <c r="C178" s="191">
        <f t="shared" ca="1" si="8"/>
        <v>0.19895204429552293</v>
      </c>
      <c r="D178" s="127">
        <f t="shared" ca="1" si="6"/>
        <v>24.670000000000016</v>
      </c>
      <c r="E178" s="127">
        <f t="shared" ca="1" si="7"/>
        <v>137.46856726375307</v>
      </c>
      <c r="F178" s="127">
        <f t="shared" ca="1" si="10"/>
        <v>0</v>
      </c>
    </row>
    <row r="179" spans="2:6" outlineLevel="1">
      <c r="B179" s="44">
        <f t="shared" si="9"/>
        <v>6</v>
      </c>
      <c r="C179" s="191">
        <f t="shared" ca="1" si="8"/>
        <v>0.19895204429552293</v>
      </c>
      <c r="D179" s="127">
        <f t="shared" ca="1" si="6"/>
        <v>24.670000000000016</v>
      </c>
      <c r="E179" s="127">
        <f t="shared" ca="1" si="7"/>
        <v>137.46856726375307</v>
      </c>
      <c r="F179" s="127">
        <f t="shared" ca="1" si="10"/>
        <v>0</v>
      </c>
    </row>
    <row r="180" spans="2:6" outlineLevel="1">
      <c r="B180" s="44">
        <f t="shared" si="9"/>
        <v>7</v>
      </c>
      <c r="C180" s="191">
        <f t="shared" ca="1" si="8"/>
        <v>0.19895204429552293</v>
      </c>
      <c r="D180" s="127">
        <f t="shared" ca="1" si="6"/>
        <v>24.670000000000016</v>
      </c>
      <c r="E180" s="127">
        <f t="shared" ca="1" si="7"/>
        <v>137.46856726375307</v>
      </c>
      <c r="F180" s="127">
        <f t="shared" ca="1" si="10"/>
        <v>0</v>
      </c>
    </row>
    <row r="181" spans="2:6" outlineLevel="1">
      <c r="B181" s="44">
        <f t="shared" ref="B181:B183" si="11">B180+1</f>
        <v>8</v>
      </c>
      <c r="C181" s="191">
        <f t="shared" ref="C181:C183" ca="1" si="12">C180-F180/(E180)</f>
        <v>0.19895204429552293</v>
      </c>
      <c r="D181" s="127">
        <f t="shared" ca="1" si="6"/>
        <v>24.670000000000016</v>
      </c>
      <c r="E181" s="127">
        <f t="shared" ca="1" si="7"/>
        <v>137.46856726375307</v>
      </c>
      <c r="F181" s="127">
        <f t="shared" ref="F181:F183" ca="1" si="13">D181-$C$168</f>
        <v>0</v>
      </c>
    </row>
    <row r="182" spans="2:6" outlineLevel="1">
      <c r="B182" s="44">
        <f t="shared" si="11"/>
        <v>9</v>
      </c>
      <c r="C182" s="191">
        <f t="shared" ca="1" si="12"/>
        <v>0.19895204429552293</v>
      </c>
      <c r="D182" s="127">
        <f t="shared" ca="1" si="6"/>
        <v>24.670000000000016</v>
      </c>
      <c r="E182" s="127">
        <f t="shared" ca="1" si="7"/>
        <v>137.46856726375307</v>
      </c>
      <c r="F182" s="127">
        <f t="shared" ca="1" si="13"/>
        <v>0</v>
      </c>
    </row>
    <row r="183" spans="2:6" outlineLevel="1">
      <c r="B183" s="44">
        <f t="shared" si="11"/>
        <v>10</v>
      </c>
      <c r="C183" s="191">
        <f t="shared" ca="1" si="12"/>
        <v>0.19895204429552293</v>
      </c>
      <c r="D183" s="127">
        <f t="shared" ca="1" si="6"/>
        <v>24.670000000000016</v>
      </c>
      <c r="E183" s="127">
        <f t="shared" ca="1" si="7"/>
        <v>137.46856726375307</v>
      </c>
      <c r="F183" s="127">
        <f t="shared" ca="1" si="13"/>
        <v>0</v>
      </c>
    </row>
    <row r="184" spans="2:6" outlineLevel="1"/>
    <row r="185" spans="2:6" outlineLevel="1">
      <c r="B185" s="71" t="s">
        <v>179</v>
      </c>
      <c r="E185" s="173"/>
      <c r="F185" s="173"/>
    </row>
    <row r="186" spans="2:6" outlineLevel="1">
      <c r="C186" s="188"/>
      <c r="D186" s="173"/>
      <c r="E186" s="173"/>
      <c r="F186" s="173"/>
    </row>
    <row r="187" spans="2:6" outlineLevel="1">
      <c r="B187" s="141" t="s">
        <v>173</v>
      </c>
      <c r="C187" s="141" t="s">
        <v>174</v>
      </c>
      <c r="D187" s="141" t="s">
        <v>175</v>
      </c>
      <c r="E187" s="141" t="s">
        <v>32</v>
      </c>
      <c r="F187" s="141" t="s">
        <v>176</v>
      </c>
    </row>
    <row r="188" spans="2:6" outlineLevel="1">
      <c r="B188" s="195">
        <v>0</v>
      </c>
      <c r="C188" s="198">
        <f>C173</f>
        <v>0.15110000000000001</v>
      </c>
      <c r="D188" s="127">
        <f t="shared" ref="D188:D198" ca="1" si="14">-$C$128*_xlfn.NORM.S.DIST(-(LN($C$128/$C$6)+$C$129*$C$61+(C188^2/2)*$C$131)/(C188*SQRT($C$131)),TRUE)+$C$6*$C$132*_xlfn.NORM.S.DIST(-(LN($C$128/$C$6)+$C$129*$C$61-(C188^2/2)*$C$131)/(C188*SQRT($C$131)),TRUE)</f>
        <v>23.883883128501566</v>
      </c>
      <c r="E188" s="127">
        <f t="shared" ref="E188:E198" ca="1" si="15">$C$128*_xlfn.NORM.S.DIST((LN($C$128/$C$6)+$C$129*$C$61+(C188^2/2)*$C$131)/(C188*SQRT($C$131)),FALSE)*SQRT($C$131)</f>
        <v>137.17575509580345</v>
      </c>
      <c r="F188" s="127">
        <f ca="1">D188-$C$169</f>
        <v>-9.1161168714984342</v>
      </c>
    </row>
    <row r="189" spans="2:6" outlineLevel="1">
      <c r="B189" s="44">
        <f>B188+1</f>
        <v>1</v>
      </c>
      <c r="C189" s="191">
        <f t="shared" ref="C189:C195" ca="1" si="16">C188-F188/(E188)</f>
        <v>0.21755574405718958</v>
      </c>
      <c r="D189" s="127">
        <f t="shared" ca="1" si="14"/>
        <v>33.014187767756937</v>
      </c>
      <c r="E189" s="127">
        <f t="shared" ca="1" si="15"/>
        <v>137.51894207408839</v>
      </c>
      <c r="F189" s="127">
        <f t="shared" ref="F189:F198" ca="1" si="17">D189-$C$169</f>
        <v>1.4187767756936864E-2</v>
      </c>
    </row>
    <row r="190" spans="2:6" outlineLevel="1">
      <c r="B190" s="44">
        <f t="shared" ref="B190:B198" si="18">B189+1</f>
        <v>2</v>
      </c>
      <c r="C190" s="191">
        <f t="shared" ca="1" si="16"/>
        <v>0.21745257450437777</v>
      </c>
      <c r="D190" s="127">
        <f t="shared" ca="1" si="14"/>
        <v>33.000000011180703</v>
      </c>
      <c r="E190" s="127">
        <f t="shared" ca="1" si="15"/>
        <v>137.51872522638359</v>
      </c>
      <c r="F190" s="127">
        <f t="shared" ca="1" si="17"/>
        <v>1.1180702585988911E-8</v>
      </c>
    </row>
    <row r="191" spans="2:6" outlineLevel="1">
      <c r="B191" s="44">
        <f t="shared" si="18"/>
        <v>3</v>
      </c>
      <c r="C191" s="191">
        <f t="shared" ca="1" si="16"/>
        <v>0.21745257442307464</v>
      </c>
      <c r="D191" s="127">
        <f t="shared" ca="1" si="14"/>
        <v>32.999999999999943</v>
      </c>
      <c r="E191" s="127">
        <f t="shared" ca="1" si="15"/>
        <v>137.51872522621244</v>
      </c>
      <c r="F191" s="127">
        <f t="shared" ca="1" si="17"/>
        <v>-5.6843418860808015E-14</v>
      </c>
    </row>
    <row r="192" spans="2:6" outlineLevel="1">
      <c r="B192" s="44">
        <f t="shared" si="18"/>
        <v>4</v>
      </c>
      <c r="C192" s="191">
        <f t="shared" ca="1" si="16"/>
        <v>0.21745257442307506</v>
      </c>
      <c r="D192" s="127">
        <f t="shared" ca="1" si="14"/>
        <v>33.000000000000057</v>
      </c>
      <c r="E192" s="127">
        <f t="shared" ca="1" si="15"/>
        <v>137.51872522621247</v>
      </c>
      <c r="F192" s="127">
        <f t="shared" ca="1" si="17"/>
        <v>5.6843418860808015E-14</v>
      </c>
    </row>
    <row r="193" spans="1:7" outlineLevel="1">
      <c r="B193" s="44">
        <f t="shared" si="18"/>
        <v>5</v>
      </c>
      <c r="C193" s="191">
        <f t="shared" ca="1" si="16"/>
        <v>0.21745257442307464</v>
      </c>
      <c r="D193" s="127">
        <f t="shared" ca="1" si="14"/>
        <v>32.999999999999943</v>
      </c>
      <c r="E193" s="127">
        <f t="shared" ca="1" si="15"/>
        <v>137.51872522621244</v>
      </c>
      <c r="F193" s="127">
        <f t="shared" ca="1" si="17"/>
        <v>-5.6843418860808015E-14</v>
      </c>
    </row>
    <row r="194" spans="1:7" outlineLevel="1">
      <c r="B194" s="44">
        <f t="shared" si="18"/>
        <v>6</v>
      </c>
      <c r="C194" s="191">
        <f t="shared" ca="1" si="16"/>
        <v>0.21745257442307506</v>
      </c>
      <c r="D194" s="127">
        <f t="shared" ca="1" si="14"/>
        <v>33.000000000000057</v>
      </c>
      <c r="E194" s="127">
        <f t="shared" ca="1" si="15"/>
        <v>137.51872522621247</v>
      </c>
      <c r="F194" s="127">
        <f t="shared" ca="1" si="17"/>
        <v>5.6843418860808015E-14</v>
      </c>
    </row>
    <row r="195" spans="1:7" outlineLevel="1">
      <c r="B195" s="44">
        <f t="shared" si="18"/>
        <v>7</v>
      </c>
      <c r="C195" s="191">
        <f t="shared" ca="1" si="16"/>
        <v>0.21745257442307464</v>
      </c>
      <c r="D195" s="127">
        <f t="shared" ca="1" si="14"/>
        <v>32.999999999999943</v>
      </c>
      <c r="E195" s="127">
        <f t="shared" ca="1" si="15"/>
        <v>137.51872522621244</v>
      </c>
      <c r="F195" s="127">
        <f t="shared" ca="1" si="17"/>
        <v>-5.6843418860808015E-14</v>
      </c>
    </row>
    <row r="196" spans="1:7" outlineLevel="1">
      <c r="B196" s="44">
        <f t="shared" si="18"/>
        <v>8</v>
      </c>
      <c r="C196" s="191">
        <f t="shared" ref="C196:C198" ca="1" si="19">C195-F195/(E195)</f>
        <v>0.21745257442307506</v>
      </c>
      <c r="D196" s="127">
        <f t="shared" ca="1" si="14"/>
        <v>33.000000000000057</v>
      </c>
      <c r="E196" s="127">
        <f t="shared" ca="1" si="15"/>
        <v>137.51872522621247</v>
      </c>
      <c r="F196" s="127">
        <f t="shared" ca="1" si="17"/>
        <v>5.6843418860808015E-14</v>
      </c>
    </row>
    <row r="197" spans="1:7" outlineLevel="1">
      <c r="B197" s="44">
        <f t="shared" si="18"/>
        <v>9</v>
      </c>
      <c r="C197" s="191">
        <f t="shared" ca="1" si="19"/>
        <v>0.21745257442307464</v>
      </c>
      <c r="D197" s="127">
        <f t="shared" ca="1" si="14"/>
        <v>32.999999999999943</v>
      </c>
      <c r="E197" s="127">
        <f t="shared" ca="1" si="15"/>
        <v>137.51872522621244</v>
      </c>
      <c r="F197" s="127">
        <f t="shared" ca="1" si="17"/>
        <v>-5.6843418860808015E-14</v>
      </c>
    </row>
    <row r="198" spans="1:7" outlineLevel="1">
      <c r="B198" s="44">
        <f t="shared" si="18"/>
        <v>10</v>
      </c>
      <c r="C198" s="191">
        <f t="shared" ca="1" si="19"/>
        <v>0.21745257442307506</v>
      </c>
      <c r="D198" s="127">
        <f t="shared" ca="1" si="14"/>
        <v>33.000000000000057</v>
      </c>
      <c r="E198" s="127">
        <f t="shared" ca="1" si="15"/>
        <v>137.51872522621247</v>
      </c>
      <c r="F198" s="127">
        <f t="shared" ca="1" si="17"/>
        <v>5.6843418860808015E-14</v>
      </c>
    </row>
    <row r="199" spans="1:7" outlineLevel="1">
      <c r="C199" s="188"/>
      <c r="D199" s="173"/>
      <c r="E199" s="173"/>
      <c r="F199" s="173"/>
    </row>
    <row r="200" spans="1:7" outlineLevel="1">
      <c r="E200" s="173"/>
      <c r="F200" s="173"/>
    </row>
    <row r="201" spans="1:7" outlineLevel="1">
      <c r="B201" s="140" t="s">
        <v>180</v>
      </c>
      <c r="C201" s="188"/>
      <c r="D201" s="173"/>
      <c r="E201" s="173"/>
      <c r="F201" s="173"/>
    </row>
    <row r="202" spans="1:7" outlineLevel="1">
      <c r="B202" s="189" t="s">
        <v>171</v>
      </c>
      <c r="C202" s="201">
        <f>C168</f>
        <v>24.67</v>
      </c>
      <c r="D202" s="173"/>
      <c r="E202" s="189" t="s">
        <v>172</v>
      </c>
      <c r="F202" s="201">
        <f>C169</f>
        <v>33</v>
      </c>
    </row>
    <row r="203" spans="1:7" outlineLevel="1">
      <c r="B203" s="200" t="s">
        <v>182</v>
      </c>
      <c r="C203" s="199">
        <v>0.19895334559037564</v>
      </c>
      <c r="D203" s="202" t="str">
        <f ca="1">IF(ABS(C203-F168)&lt;0.01,"SAME","ERROR")</f>
        <v>SAME</v>
      </c>
      <c r="E203" s="200" t="s">
        <v>182</v>
      </c>
      <c r="F203" s="199">
        <v>0.21745492831352958</v>
      </c>
      <c r="G203" s="202" t="str">
        <f ca="1">IF(ABS(F203-F169)&lt;0.01,"SAME","ERROR")</f>
        <v>SAME</v>
      </c>
    </row>
    <row r="204" spans="1:7" outlineLevel="1">
      <c r="B204" s="190" t="s">
        <v>181</v>
      </c>
      <c r="C204" s="154">
        <f ca="1">$C$128*_xlfn.NORM.S.DIST((LN($C$128/$C$6)+$C$129*$C$61+(C203^2/2)*$C$131)/(C203*SQRT($C$131)),TRUE)-$C$6*$C$132*_xlfn.NORM.S.DIST((LN($C$128/$C$6)+$C$129*$C$61-(C203^2/2)*$C$131)/(C203*SQRT($C$131)),TRUE)</f>
        <v>24.670178887141901</v>
      </c>
      <c r="D204" s="173"/>
      <c r="E204" s="190" t="s">
        <v>183</v>
      </c>
      <c r="F204" s="127">
        <f ca="1">-$C$128*_xlfn.NORM.S.DIST(-(LN($C$128/$C$6)+$C$129*$C$61+(F203^2/2)*$C$131)/(F203*SQRT($C$131)),TRUE)+$C$6*$C$132*_xlfn.NORM.S.DIST(-(LN($C$128/$C$6)+$C$129*$C$61-(F203^2/2)*$C$131)/(F203*SQRT($C$131)),TRUE)</f>
        <v>33.000323704020502</v>
      </c>
    </row>
    <row r="205" spans="1:7" outlineLevel="1"/>
    <row r="207" spans="1:7" ht="21">
      <c r="A207" t="s">
        <v>209</v>
      </c>
      <c r="B207" s="122" t="s">
        <v>184</v>
      </c>
      <c r="C207" s="122"/>
      <c r="D207" s="122"/>
      <c r="E207" s="122"/>
      <c r="F207" s="122"/>
    </row>
    <row r="208" spans="1:7" outlineLevel="1"/>
    <row r="209" spans="1:11" outlineLevel="1">
      <c r="B209" s="192" t="s">
        <v>185</v>
      </c>
      <c r="C209" s="203">
        <v>100</v>
      </c>
    </row>
    <row r="210" spans="1:11" outlineLevel="1"/>
    <row r="211" spans="1:11" outlineLevel="1">
      <c r="B211" s="148" t="s">
        <v>186</v>
      </c>
      <c r="C211" s="204">
        <f ca="1">$C$209*$C$132*C136</f>
        <v>44.060551874222746</v>
      </c>
      <c r="E211" s="148" t="s">
        <v>188</v>
      </c>
      <c r="F211" s="204">
        <f ca="1">$C$128*C135</f>
        <v>350.30747365884048</v>
      </c>
    </row>
    <row r="212" spans="1:11" outlineLevel="1">
      <c r="B212" s="205" t="s">
        <v>187</v>
      </c>
      <c r="C212" s="204">
        <f ca="1">$C$209*$C$132*C138</f>
        <v>55.124984911348811</v>
      </c>
      <c r="E212" s="205" t="s">
        <v>189</v>
      </c>
      <c r="F212" s="204">
        <f ca="1">$C$128*C137</f>
        <v>387.79779399862838</v>
      </c>
    </row>
    <row r="213" spans="1:11" outlineLevel="1">
      <c r="B213" s="71"/>
    </row>
    <row r="214" spans="1:11" outlineLevel="1">
      <c r="B214" s="179" t="s">
        <v>190</v>
      </c>
      <c r="C214" s="50">
        <f ca="1">F211-(C6/C209)*C211</f>
        <v>19.853334602169866</v>
      </c>
      <c r="E214" s="179" t="s">
        <v>191</v>
      </c>
      <c r="F214" s="50">
        <f ca="1">-F212+(C6/C209)*C212</f>
        <v>25.63959283648768</v>
      </c>
    </row>
    <row r="215" spans="1:11" outlineLevel="1">
      <c r="C215" s="207" t="str">
        <f ca="1">IF(ABS(C214-F128)=0, "CHECK","ERROR")</f>
        <v>CHECK</v>
      </c>
      <c r="F215" s="206" t="str">
        <f ca="1">IF(ABS(F214-F133)&lt;=0.0001, "CHECK","ERROR")</f>
        <v>CHECK</v>
      </c>
    </row>
    <row r="216" spans="1:11" outlineLevel="1"/>
    <row r="218" spans="1:11" ht="21">
      <c r="A218" t="s">
        <v>10</v>
      </c>
      <c r="B218" s="122" t="s">
        <v>193</v>
      </c>
      <c r="C218" s="122"/>
      <c r="D218" s="122"/>
      <c r="E218" s="122"/>
      <c r="F218" s="122"/>
    </row>
    <row r="221" spans="1:11">
      <c r="B221" s="230" t="s">
        <v>194</v>
      </c>
      <c r="C221" s="230"/>
      <c r="D221" s="230"/>
      <c r="E221" s="230"/>
      <c r="F221" s="230"/>
      <c r="G221" s="230"/>
      <c r="H221" s="230"/>
      <c r="I221" s="230"/>
      <c r="J221" s="230"/>
      <c r="K221" s="230"/>
    </row>
    <row r="222" spans="1:11">
      <c r="B222" s="213">
        <f ca="1">F128</f>
        <v>19.853334602169866</v>
      </c>
      <c r="C222" s="211">
        <v>0.12</v>
      </c>
      <c r="D222" s="211">
        <f>C222+0.02</f>
        <v>0.13999999999999999</v>
      </c>
      <c r="E222" s="211">
        <f t="shared" ref="E222:K222" si="20">D222+0.02</f>
        <v>0.15999999999999998</v>
      </c>
      <c r="F222" s="211">
        <f t="shared" si="20"/>
        <v>0.17999999999999997</v>
      </c>
      <c r="G222" s="211">
        <f t="shared" si="20"/>
        <v>0.19999999999999996</v>
      </c>
      <c r="H222" s="211">
        <f t="shared" si="20"/>
        <v>0.21999999999999995</v>
      </c>
      <c r="I222" s="211">
        <f t="shared" si="20"/>
        <v>0.23999999999999994</v>
      </c>
      <c r="J222" s="211">
        <f t="shared" si="20"/>
        <v>0.25999999999999995</v>
      </c>
      <c r="K222" s="211">
        <f t="shared" si="20"/>
        <v>0.27999999999999997</v>
      </c>
    </row>
    <row r="223" spans="1:11">
      <c r="B223" s="212">
        <v>650</v>
      </c>
      <c r="C223" s="127">
        <f t="dataTable" ref="C223:K240" dt2D="1" dtr="1" r1="D87" r2="J46" ca="1"/>
        <v>0.10389326565880896</v>
      </c>
      <c r="D223" s="127">
        <v>0.32560398611812857</v>
      </c>
      <c r="E223" s="127">
        <v>0.73227086734782176</v>
      </c>
      <c r="F223" s="127">
        <v>1.3439177247698169</v>
      </c>
      <c r="G223" s="127">
        <v>2.1589432525494772</v>
      </c>
      <c r="H223" s="127">
        <v>3.1637089666227922</v>
      </c>
      <c r="I223" s="127">
        <v>4.3394671812758787</v>
      </c>
      <c r="J223" s="127">
        <v>5.6663830854528214</v>
      </c>
      <c r="K223" s="127">
        <v>7.1255621786553576</v>
      </c>
    </row>
    <row r="224" spans="1:11">
      <c r="B224" s="212">
        <f>B223+15</f>
        <v>665</v>
      </c>
      <c r="C224" s="127">
        <v>0.33491308005106646</v>
      </c>
      <c r="D224" s="127">
        <v>0.81252676284751857</v>
      </c>
      <c r="E224" s="127">
        <v>1.5406489732451476</v>
      </c>
      <c r="F224" s="127">
        <v>2.506832059077837</v>
      </c>
      <c r="G224" s="127">
        <v>3.6853147389176968</v>
      </c>
      <c r="H224" s="127">
        <v>5.047232030343153</v>
      </c>
      <c r="I224" s="127">
        <v>6.5653088107345638</v>
      </c>
      <c r="J224" s="127">
        <v>8.2155635871202435</v>
      </c>
      <c r="K224" s="127">
        <v>9.9776162603135106</v>
      </c>
    </row>
    <row r="225" spans="2:11">
      <c r="B225" s="212">
        <f t="shared" ref="B225:B240" si="21">B224+15</f>
        <v>680</v>
      </c>
      <c r="C225" s="127">
        <v>0.92237794139532525</v>
      </c>
      <c r="D225" s="127">
        <v>1.8089319273921944</v>
      </c>
      <c r="E225" s="127">
        <v>2.9726366477228368</v>
      </c>
      <c r="F225" s="127">
        <v>4.368692670886702</v>
      </c>
      <c r="G225" s="127">
        <v>5.9548115378194098</v>
      </c>
      <c r="H225" s="127">
        <v>7.695289790887557</v>
      </c>
      <c r="I225" s="127">
        <v>9.5612740935935676</v>
      </c>
      <c r="J225" s="127">
        <v>11.529824873049336</v>
      </c>
      <c r="K225" s="127">
        <v>13.582770386532218</v>
      </c>
    </row>
    <row r="226" spans="2:11">
      <c r="B226" s="212">
        <f t="shared" si="21"/>
        <v>695</v>
      </c>
      <c r="C226" s="127">
        <v>2.2027718187860046</v>
      </c>
      <c r="D226" s="127">
        <v>3.6314697590592289</v>
      </c>
      <c r="E226" s="127">
        <v>5.3022043008232345</v>
      </c>
      <c r="F226" s="127">
        <v>7.157005425084435</v>
      </c>
      <c r="G226" s="127">
        <v>9.1526289595487924</v>
      </c>
      <c r="H226" s="127">
        <v>11.257261289169548</v>
      </c>
      <c r="I226" s="127">
        <v>13.447411043772149</v>
      </c>
      <c r="J226" s="127">
        <v>15.705545253653639</v>
      </c>
      <c r="K226" s="127">
        <v>18.018402745351068</v>
      </c>
    </row>
    <row r="227" spans="2:11">
      <c r="B227" s="212">
        <f t="shared" si="21"/>
        <v>710</v>
      </c>
      <c r="C227" s="127">
        <v>4.6280893814812316</v>
      </c>
      <c r="D227" s="127">
        <v>6.6417403031360323</v>
      </c>
      <c r="E227" s="127">
        <v>8.8095607566815204</v>
      </c>
      <c r="F227" s="127">
        <v>11.086626683276251</v>
      </c>
      <c r="G227" s="127">
        <v>13.443297818751006</v>
      </c>
      <c r="H227" s="127">
        <v>15.859444571651352</v>
      </c>
      <c r="I227" s="127">
        <v>18.321002427602735</v>
      </c>
      <c r="J227" s="127">
        <v>20.81788366086883</v>
      </c>
      <c r="K227" s="127">
        <v>23.342679825335523</v>
      </c>
    </row>
    <row r="228" spans="2:11">
      <c r="B228" s="212">
        <f t="shared" si="21"/>
        <v>725</v>
      </c>
      <c r="C228" s="127">
        <v>8.6767805867374079</v>
      </c>
      <c r="D228" s="127">
        <v>11.176958371281131</v>
      </c>
      <c r="E228" s="127">
        <v>13.733737991719806</v>
      </c>
      <c r="F228" s="127">
        <v>16.328787064319215</v>
      </c>
      <c r="G228" s="127">
        <v>18.950775531254862</v>
      </c>
      <c r="H228" s="127">
        <v>21.592334690398388</v>
      </c>
      <c r="I228" s="127">
        <v>24.248465711804386</v>
      </c>
      <c r="J228" s="127">
        <v>26.915655004182213</v>
      </c>
      <c r="K228" s="127">
        <v>29.591356890989573</v>
      </c>
    </row>
    <row r="229" spans="2:11">
      <c r="B229" s="212">
        <f t="shared" si="21"/>
        <v>740</v>
      </c>
      <c r="C229" s="127">
        <v>14.718357986960882</v>
      </c>
      <c r="D229" s="127">
        <v>17.472345496180253</v>
      </c>
      <c r="E229" s="127">
        <v>20.22849587079412</v>
      </c>
      <c r="F229" s="127">
        <v>22.985888513326472</v>
      </c>
      <c r="G229" s="127">
        <v>25.74394641307623</v>
      </c>
      <c r="H229" s="127">
        <v>28.50228026375953</v>
      </c>
      <c r="I229" s="127">
        <v>31.260610384022129</v>
      </c>
      <c r="J229" s="127">
        <v>34.018724623169703</v>
      </c>
      <c r="K229" s="127">
        <v>36.776454286644537</v>
      </c>
    </row>
    <row r="230" spans="2:11">
      <c r="B230" s="212">
        <f t="shared" si="21"/>
        <v>755</v>
      </c>
      <c r="C230" s="127">
        <v>22.895771216681567</v>
      </c>
      <c r="D230" s="127">
        <v>25.605580904793669</v>
      </c>
      <c r="E230" s="127">
        <v>28.335340693618775</v>
      </c>
      <c r="F230" s="127">
        <v>31.078284104000545</v>
      </c>
      <c r="G230" s="127">
        <v>33.830290275392485</v>
      </c>
      <c r="H230" s="127">
        <v>36.58869860545326</v>
      </c>
      <c r="I230" s="127">
        <v>39.351707364279093</v>
      </c>
      <c r="J230" s="127">
        <v>42.118046539766965</v>
      </c>
      <c r="K230" s="127">
        <v>44.886789488710292</v>
      </c>
    </row>
    <row r="231" spans="2:11">
      <c r="B231" s="212">
        <f t="shared" si="21"/>
        <v>770</v>
      </c>
      <c r="C231" s="127">
        <v>33.087040277854499</v>
      </c>
      <c r="D231" s="127">
        <v>35.484746936740635</v>
      </c>
      <c r="E231" s="127">
        <v>37.981186085789318</v>
      </c>
      <c r="F231" s="127">
        <v>40.54555214117994</v>
      </c>
      <c r="G231" s="127">
        <v>43.158386111196251</v>
      </c>
      <c r="H231" s="127">
        <v>45.806850951476463</v>
      </c>
      <c r="I231" s="127">
        <v>48.482156160547902</v>
      </c>
      <c r="J231" s="127">
        <v>51.178086052459435</v>
      </c>
      <c r="K231" s="127">
        <v>53.89012190959761</v>
      </c>
    </row>
    <row r="232" spans="2:11">
      <c r="B232" s="212">
        <f t="shared" si="21"/>
        <v>785</v>
      </c>
      <c r="C232" s="127">
        <v>44.96095561885204</v>
      </c>
      <c r="D232" s="127">
        <v>46.881109793269616</v>
      </c>
      <c r="E232" s="127">
        <v>48.999229578391805</v>
      </c>
      <c r="F232" s="127">
        <v>51.260600560389662</v>
      </c>
      <c r="G232" s="127">
        <v>53.627884861109465</v>
      </c>
      <c r="H232" s="127">
        <v>56.075152100877631</v>
      </c>
      <c r="I232" s="127">
        <v>58.584000443926811</v>
      </c>
      <c r="J232" s="127">
        <v>61.141082233099439</v>
      </c>
      <c r="K232" s="127">
        <v>63.736513466160204</v>
      </c>
    </row>
    <row r="233" spans="2:11">
      <c r="B233" s="212">
        <f t="shared" si="21"/>
        <v>800</v>
      </c>
      <c r="C233" s="127">
        <v>58.089118999331504</v>
      </c>
      <c r="D233" s="127">
        <v>59.489558403898968</v>
      </c>
      <c r="E233" s="127">
        <v>61.164384591515613</v>
      </c>
      <c r="F233" s="127">
        <v>63.051879383026971</v>
      </c>
      <c r="G233" s="127">
        <v>65.10421229831968</v>
      </c>
      <c r="H233" s="127">
        <v>67.285344876560202</v>
      </c>
      <c r="I233" s="127">
        <v>69.568232002349873</v>
      </c>
      <c r="J233" s="127">
        <v>71.932454114441043</v>
      </c>
      <c r="K233" s="127">
        <v>74.362434433747865</v>
      </c>
    </row>
    <row r="234" spans="2:11">
      <c r="B234" s="212">
        <f t="shared" si="21"/>
        <v>815</v>
      </c>
      <c r="C234" s="127">
        <v>72.056611503689169</v>
      </c>
      <c r="D234" s="127">
        <v>72.992415735242162</v>
      </c>
      <c r="E234" s="127">
        <v>74.231891204166914</v>
      </c>
      <c r="F234" s="127">
        <v>75.727888103757664</v>
      </c>
      <c r="G234" s="127">
        <v>77.434814565303782</v>
      </c>
      <c r="H234" s="127">
        <v>79.313687800848584</v>
      </c>
      <c r="I234" s="127">
        <v>81.332754984558164</v>
      </c>
      <c r="J234" s="127">
        <v>83.466635455467099</v>
      </c>
      <c r="K234" s="127">
        <v>85.695145893539006</v>
      </c>
    </row>
    <row r="235" spans="2:11">
      <c r="B235" s="212">
        <f t="shared" si="21"/>
        <v>830</v>
      </c>
      <c r="C235" s="127">
        <v>86.531323945002555</v>
      </c>
      <c r="D235" s="127">
        <v>87.107555874269224</v>
      </c>
      <c r="E235" s="127">
        <v>87.96958214816857</v>
      </c>
      <c r="F235" s="127">
        <v>89.09895099513983</v>
      </c>
      <c r="G235" s="127">
        <v>90.464148374741626</v>
      </c>
      <c r="H235" s="127">
        <v>92.031522690671636</v>
      </c>
      <c r="I235" s="127">
        <v>93.770016389802436</v>
      </c>
      <c r="J235" s="127">
        <v>95.652710790014112</v>
      </c>
      <c r="K235" s="127">
        <v>97.656950325608477</v>
      </c>
    </row>
    <row r="236" spans="2:11">
      <c r="B236" s="212">
        <f t="shared" si="21"/>
        <v>845</v>
      </c>
      <c r="C236" s="127">
        <v>101.28437319608145</v>
      </c>
      <c r="D236" s="127">
        <v>101.61314225408557</v>
      </c>
      <c r="E236" s="127">
        <v>102.17871993049437</v>
      </c>
      <c r="F236" s="127">
        <v>102.99315282304576</v>
      </c>
      <c r="G236" s="127">
        <v>104.04553021035667</v>
      </c>
      <c r="H236" s="127">
        <v>105.31406042035951</v>
      </c>
      <c r="I236" s="127">
        <v>106.77357082270748</v>
      </c>
      <c r="J236" s="127">
        <v>108.39938038412129</v>
      </c>
      <c r="K236" s="127">
        <v>110.16899836293931</v>
      </c>
    </row>
    <row r="237" spans="2:11">
      <c r="B237" s="212">
        <f t="shared" si="21"/>
        <v>860</v>
      </c>
      <c r="C237" s="127">
        <v>116.17683468018993</v>
      </c>
      <c r="D237" s="127">
        <v>116.35155406434978</v>
      </c>
      <c r="E237" s="127">
        <v>116.70290438025881</v>
      </c>
      <c r="F237" s="127">
        <v>117.26546937283229</v>
      </c>
      <c r="G237" s="127">
        <v>118.04901940081731</v>
      </c>
      <c r="H237" s="127">
        <v>119.04678019766959</v>
      </c>
      <c r="I237" s="127">
        <v>120.24315695854216</v>
      </c>
      <c r="J237" s="127">
        <v>121.61896252141594</v>
      </c>
      <c r="K237" s="127">
        <v>123.15445022834558</v>
      </c>
    </row>
    <row r="238" spans="2:11">
      <c r="B238" s="212">
        <f t="shared" si="21"/>
        <v>875</v>
      </c>
      <c r="C238" s="127">
        <v>131.13334248658794</v>
      </c>
      <c r="D238" s="127">
        <v>131.22025915975178</v>
      </c>
      <c r="E238" s="127">
        <v>131.42763912154294</v>
      </c>
      <c r="F238" s="127">
        <v>131.80080738927086</v>
      </c>
      <c r="G238" s="127">
        <v>132.36542004984562</v>
      </c>
      <c r="H238" s="127">
        <v>133.12934269273137</v>
      </c>
      <c r="I238" s="127">
        <v>134.08815298942795</v>
      </c>
      <c r="J238" s="127">
        <v>135.2303139776003</v>
      </c>
      <c r="K238" s="127">
        <v>136.54089664656112</v>
      </c>
    </row>
    <row r="239" spans="2:11">
      <c r="B239" s="212">
        <f t="shared" si="21"/>
        <v>890</v>
      </c>
      <c r="C239" s="127">
        <v>146.11696028810286</v>
      </c>
      <c r="D239" s="127">
        <v>146.1576239665128</v>
      </c>
      <c r="E239" s="127">
        <v>146.27430242309003</v>
      </c>
      <c r="F239" s="127">
        <v>146.51259186145489</v>
      </c>
      <c r="G239" s="127">
        <v>146.90708723468845</v>
      </c>
      <c r="H239" s="127">
        <v>147.47728784435162</v>
      </c>
      <c r="I239" s="127">
        <v>148.22950564512507</v>
      </c>
      <c r="J239" s="127">
        <v>149.16069080287014</v>
      </c>
      <c r="K239" s="127">
        <v>150.26203357811858</v>
      </c>
    </row>
    <row r="240" spans="2:11">
      <c r="B240" s="212">
        <f t="shared" si="21"/>
        <v>905</v>
      </c>
      <c r="C240" s="127">
        <v>161.11119666881143</v>
      </c>
      <c r="D240" s="127">
        <v>161.12916677092699</v>
      </c>
      <c r="E240" s="127">
        <v>161.19193647245152</v>
      </c>
      <c r="F240" s="127">
        <v>161.33875013222723</v>
      </c>
      <c r="G240" s="127">
        <v>161.60648927135992</v>
      </c>
      <c r="H240" s="127">
        <v>162.02199827068216</v>
      </c>
      <c r="I240" s="127">
        <v>162.60037454250835</v>
      </c>
      <c r="J240" s="127">
        <v>163.34667077094093</v>
      </c>
      <c r="K240" s="127">
        <v>164.25865152551171</v>
      </c>
    </row>
    <row r="243" spans="2:11">
      <c r="B243" s="230" t="s">
        <v>195</v>
      </c>
      <c r="C243" s="230"/>
      <c r="D243" s="230"/>
      <c r="E243" s="230"/>
      <c r="F243" s="230"/>
      <c r="G243" s="230"/>
      <c r="H243" s="230"/>
      <c r="I243" s="230"/>
      <c r="J243" s="230"/>
      <c r="K243" s="230"/>
    </row>
    <row r="244" spans="2:11">
      <c r="B244" s="213">
        <f ca="1">F133</f>
        <v>25.639592836487736</v>
      </c>
      <c r="C244" s="211">
        <f t="shared" ref="C244:K244" si="22">C222</f>
        <v>0.12</v>
      </c>
      <c r="D244" s="211">
        <f t="shared" si="22"/>
        <v>0.13999999999999999</v>
      </c>
      <c r="E244" s="211">
        <f t="shared" si="22"/>
        <v>0.15999999999999998</v>
      </c>
      <c r="F244" s="211">
        <f t="shared" si="22"/>
        <v>0.17999999999999997</v>
      </c>
      <c r="G244" s="211">
        <f t="shared" si="22"/>
        <v>0.19999999999999996</v>
      </c>
      <c r="H244" s="211">
        <f t="shared" si="22"/>
        <v>0.21999999999999995</v>
      </c>
      <c r="I244" s="211">
        <f t="shared" si="22"/>
        <v>0.23999999999999994</v>
      </c>
      <c r="J244" s="211">
        <f t="shared" si="22"/>
        <v>0.25999999999999995</v>
      </c>
      <c r="K244" s="211">
        <f t="shared" si="22"/>
        <v>0.27999999999999997</v>
      </c>
    </row>
    <row r="245" spans="2:11">
      <c r="B245" s="212">
        <v>650</v>
      </c>
      <c r="C245" s="127">
        <f t="dataTable" ref="C245:K262" dt2D="1" dtr="1" r1="D87" r2="J46" ca="1"/>
        <v>93.995419157445554</v>
      </c>
      <c r="D245" s="127">
        <v>94.217129877904881</v>
      </c>
      <c r="E245" s="127">
        <v>94.623796759134621</v>
      </c>
      <c r="F245" s="127">
        <v>95.235443616556722</v>
      </c>
      <c r="G245" s="127">
        <v>96.050469144336148</v>
      </c>
      <c r="H245" s="127">
        <v>97.055234858409563</v>
      </c>
      <c r="I245" s="127">
        <v>98.230993073062564</v>
      </c>
      <c r="J245" s="127">
        <v>99.557908977239549</v>
      </c>
      <c r="K245" s="127">
        <v>101.01708807044201</v>
      </c>
    </row>
    <row r="246" spans="2:11">
      <c r="B246" s="212">
        <f>B245+15</f>
        <v>665</v>
      </c>
      <c r="C246" s="127">
        <v>79.226438971837865</v>
      </c>
      <c r="D246" s="127">
        <v>79.704052654634324</v>
      </c>
      <c r="E246" s="127">
        <v>80.432174865031811</v>
      </c>
      <c r="F246" s="127">
        <v>81.398357950864579</v>
      </c>
      <c r="G246" s="127">
        <v>82.57684063070451</v>
      </c>
      <c r="H246" s="127">
        <v>83.938757922129753</v>
      </c>
      <c r="I246" s="127">
        <v>85.456834702521405</v>
      </c>
      <c r="J246" s="127">
        <v>87.107089478907028</v>
      </c>
      <c r="K246" s="127">
        <v>88.869142152100267</v>
      </c>
    </row>
    <row r="247" spans="2:11">
      <c r="B247" s="212">
        <f t="shared" ref="B247:B262" si="23">B246+15</f>
        <v>680</v>
      </c>
      <c r="C247" s="127">
        <v>64.813903833182053</v>
      </c>
      <c r="D247" s="127">
        <v>65.700457819178951</v>
      </c>
      <c r="E247" s="127">
        <v>66.864162539509721</v>
      </c>
      <c r="F247" s="127">
        <v>68.260218562673458</v>
      </c>
      <c r="G247" s="127">
        <v>69.846337429606137</v>
      </c>
      <c r="H247" s="127">
        <v>71.586815682674228</v>
      </c>
      <c r="I247" s="127">
        <v>73.452799985380238</v>
      </c>
      <c r="J247" s="127">
        <v>75.421350764836063</v>
      </c>
      <c r="K247" s="127">
        <v>77.474296278318945</v>
      </c>
    </row>
    <row r="248" spans="2:11">
      <c r="B248" s="212">
        <f t="shared" si="23"/>
        <v>695</v>
      </c>
      <c r="C248" s="127">
        <v>51.094297710572732</v>
      </c>
      <c r="D248" s="127">
        <v>52.522995650845928</v>
      </c>
      <c r="E248" s="127">
        <v>54.193730192610019</v>
      </c>
      <c r="F248" s="127">
        <v>56.048531316871163</v>
      </c>
      <c r="G248" s="127">
        <v>58.044154851335634</v>
      </c>
      <c r="H248" s="127">
        <v>60.148787180956333</v>
      </c>
      <c r="I248" s="127">
        <v>62.338936935558934</v>
      </c>
      <c r="J248" s="127">
        <v>64.597071145440339</v>
      </c>
      <c r="K248" s="127">
        <v>66.909928637137853</v>
      </c>
    </row>
    <row r="249" spans="2:11">
      <c r="B249" s="212">
        <f t="shared" si="23"/>
        <v>710</v>
      </c>
      <c r="C249" s="127">
        <v>38.519615273268073</v>
      </c>
      <c r="D249" s="127">
        <v>40.533266194922703</v>
      </c>
      <c r="E249" s="127">
        <v>42.701086648468277</v>
      </c>
      <c r="F249" s="127">
        <v>44.978152575062893</v>
      </c>
      <c r="G249" s="127">
        <v>47.334823710537819</v>
      </c>
      <c r="H249" s="127">
        <v>49.750970463438136</v>
      </c>
      <c r="I249" s="127">
        <v>52.212528319389435</v>
      </c>
      <c r="J249" s="127">
        <v>54.709409552655529</v>
      </c>
      <c r="K249" s="127">
        <v>57.234205717122222</v>
      </c>
    </row>
    <row r="250" spans="2:11">
      <c r="B250" s="212">
        <f t="shared" si="23"/>
        <v>725</v>
      </c>
      <c r="C250" s="127">
        <v>27.568306478524107</v>
      </c>
      <c r="D250" s="127">
        <v>30.068484263067887</v>
      </c>
      <c r="E250" s="127">
        <v>32.625263883506534</v>
      </c>
      <c r="F250" s="127">
        <v>35.220312956105943</v>
      </c>
      <c r="G250" s="127">
        <v>37.84230142304159</v>
      </c>
      <c r="H250" s="127">
        <v>40.483860582185173</v>
      </c>
      <c r="I250" s="127">
        <v>43.139991603591113</v>
      </c>
      <c r="J250" s="127">
        <v>45.807180895968941</v>
      </c>
      <c r="K250" s="127">
        <v>48.482882782776301</v>
      </c>
    </row>
    <row r="251" spans="2:11">
      <c r="B251" s="212">
        <f t="shared" si="23"/>
        <v>740</v>
      </c>
      <c r="C251" s="127">
        <v>18.60988387874761</v>
      </c>
      <c r="D251" s="127">
        <v>21.363871387967038</v>
      </c>
      <c r="E251" s="127">
        <v>24.120021762580848</v>
      </c>
      <c r="F251" s="127">
        <v>26.8774144051132</v>
      </c>
      <c r="G251" s="127">
        <v>29.635472304863015</v>
      </c>
      <c r="H251" s="127">
        <v>32.393806155546258</v>
      </c>
      <c r="I251" s="127">
        <v>35.152136275808857</v>
      </c>
      <c r="J251" s="127">
        <v>37.910250514956374</v>
      </c>
      <c r="K251" s="127">
        <v>40.667980178431208</v>
      </c>
    </row>
    <row r="252" spans="2:11">
      <c r="B252" s="212">
        <f t="shared" si="23"/>
        <v>755</v>
      </c>
      <c r="C252" s="127">
        <v>11.787297108468351</v>
      </c>
      <c r="D252" s="127">
        <v>14.497106796580397</v>
      </c>
      <c r="E252" s="127">
        <v>17.22686658540556</v>
      </c>
      <c r="F252" s="127">
        <v>19.969809995787273</v>
      </c>
      <c r="G252" s="127">
        <v>22.721816167179213</v>
      </c>
      <c r="H252" s="127">
        <v>25.480224497239988</v>
      </c>
      <c r="I252" s="127">
        <v>28.243233256065764</v>
      </c>
      <c r="J252" s="127">
        <v>31.009572431553693</v>
      </c>
      <c r="K252" s="127">
        <v>33.77831538049702</v>
      </c>
    </row>
    <row r="253" spans="2:11">
      <c r="B253" s="212">
        <f t="shared" si="23"/>
        <v>770</v>
      </c>
      <c r="C253" s="127">
        <v>6.9785661696411978</v>
      </c>
      <c r="D253" s="127">
        <v>9.3762728285274477</v>
      </c>
      <c r="E253" s="127">
        <v>11.872711977575989</v>
      </c>
      <c r="F253" s="127">
        <v>14.43707803296661</v>
      </c>
      <c r="G253" s="127">
        <v>17.049912002982978</v>
      </c>
      <c r="H253" s="127">
        <v>19.698376843263247</v>
      </c>
      <c r="I253" s="127">
        <v>22.373682052334743</v>
      </c>
      <c r="J253" s="127">
        <v>25.069611944246162</v>
      </c>
      <c r="K253" s="127">
        <v>27.781647801384395</v>
      </c>
    </row>
    <row r="254" spans="2:11">
      <c r="B254" s="212">
        <f t="shared" si="23"/>
        <v>785</v>
      </c>
      <c r="C254" s="127">
        <v>3.8524815106387393</v>
      </c>
      <c r="D254" s="127">
        <v>5.7726356850564002</v>
      </c>
      <c r="E254" s="127">
        <v>7.8907554701785045</v>
      </c>
      <c r="F254" s="127">
        <v>10.152126452176446</v>
      </c>
      <c r="G254" s="127">
        <v>12.519410752896249</v>
      </c>
      <c r="H254" s="127">
        <v>14.966677992664358</v>
      </c>
      <c r="I254" s="127">
        <v>17.475526335713596</v>
      </c>
      <c r="J254" s="127">
        <v>20.03260812488611</v>
      </c>
      <c r="K254" s="127">
        <v>22.628039357946903</v>
      </c>
    </row>
    <row r="255" spans="2:11">
      <c r="B255" s="212">
        <f t="shared" si="23"/>
        <v>800</v>
      </c>
      <c r="C255" s="127">
        <v>1.9806448911183452</v>
      </c>
      <c r="D255" s="127">
        <v>3.3810842956857101</v>
      </c>
      <c r="E255" s="127">
        <v>5.055910483302398</v>
      </c>
      <c r="F255" s="127">
        <v>6.9434052748136423</v>
      </c>
      <c r="G255" s="127">
        <v>8.9957381901064366</v>
      </c>
      <c r="H255" s="127">
        <v>11.176870768347044</v>
      </c>
      <c r="I255" s="127">
        <v>13.459757894136601</v>
      </c>
      <c r="J255" s="127">
        <v>15.823980006227771</v>
      </c>
      <c r="K255" s="127">
        <v>18.253960325534564</v>
      </c>
    </row>
    <row r="256" spans="2:11">
      <c r="B256" s="212">
        <f t="shared" si="23"/>
        <v>815</v>
      </c>
      <c r="C256" s="127">
        <v>0.9481373954759178</v>
      </c>
      <c r="D256" s="127">
        <v>1.8839416270288112</v>
      </c>
      <c r="E256" s="127">
        <v>3.1234170959535987</v>
      </c>
      <c r="F256" s="127">
        <v>4.6194139955443774</v>
      </c>
      <c r="G256" s="127">
        <v>6.3263404570905948</v>
      </c>
      <c r="H256" s="127">
        <v>8.2052136926353398</v>
      </c>
      <c r="I256" s="127">
        <v>10.224280876344892</v>
      </c>
      <c r="J256" s="127">
        <v>12.358161347253827</v>
      </c>
      <c r="K256" s="127">
        <v>14.586671785325649</v>
      </c>
    </row>
    <row r="257" spans="2:11">
      <c r="B257" s="212">
        <f t="shared" si="23"/>
        <v>830</v>
      </c>
      <c r="C257" s="127">
        <v>0.4228498367892648</v>
      </c>
      <c r="D257" s="127">
        <v>0.99908176605600119</v>
      </c>
      <c r="E257" s="127">
        <v>1.8611080399552904</v>
      </c>
      <c r="F257" s="127">
        <v>2.9904768869265439</v>
      </c>
      <c r="G257" s="127">
        <v>4.3556742665284105</v>
      </c>
      <c r="H257" s="127">
        <v>5.9230485824582786</v>
      </c>
      <c r="I257" s="127">
        <v>7.661542281589206</v>
      </c>
      <c r="J257" s="127">
        <v>9.5442366818008679</v>
      </c>
      <c r="K257" s="127">
        <v>11.548476217395233</v>
      </c>
    </row>
    <row r="258" spans="2:11">
      <c r="B258" s="212">
        <f t="shared" si="23"/>
        <v>845</v>
      </c>
      <c r="C258" s="127">
        <v>0.17589908786822406</v>
      </c>
      <c r="D258" s="127">
        <v>0.50466814587218423</v>
      </c>
      <c r="E258" s="127">
        <v>1.0702458222810947</v>
      </c>
      <c r="F258" s="127">
        <v>1.8846787148325319</v>
      </c>
      <c r="G258" s="127">
        <v>2.937056102143444</v>
      </c>
      <c r="H258" s="127">
        <v>4.2055863121462238</v>
      </c>
      <c r="I258" s="127">
        <v>5.6650967144942825</v>
      </c>
      <c r="J258" s="127">
        <v>7.2909062759080143</v>
      </c>
      <c r="K258" s="127">
        <v>9.0605242547259621</v>
      </c>
    </row>
    <row r="259" spans="2:11">
      <c r="B259" s="212">
        <f t="shared" si="23"/>
        <v>860</v>
      </c>
      <c r="C259" s="127">
        <v>6.8360571976623596E-2</v>
      </c>
      <c r="D259" s="127">
        <v>0.24307995613658484</v>
      </c>
      <c r="E259" s="127">
        <v>0.59443027204545729</v>
      </c>
      <c r="F259" s="127">
        <v>1.1569952646189634</v>
      </c>
      <c r="G259" s="127">
        <v>1.9405452926041775</v>
      </c>
      <c r="H259" s="127">
        <v>2.9383060894563044</v>
      </c>
      <c r="I259" s="127">
        <v>4.1346828503288862</v>
      </c>
      <c r="J259" s="127">
        <v>5.510488413202566</v>
      </c>
      <c r="K259" s="127">
        <v>7.045976120132309</v>
      </c>
    </row>
    <row r="260" spans="2:11">
      <c r="B260" s="212">
        <f t="shared" si="23"/>
        <v>875</v>
      </c>
      <c r="C260" s="127">
        <v>2.4868378374635736E-2</v>
      </c>
      <c r="D260" s="127">
        <v>0.11178505153852925</v>
      </c>
      <c r="E260" s="127">
        <v>0.31916501332966973</v>
      </c>
      <c r="F260" s="127">
        <v>0.69233328105758574</v>
      </c>
      <c r="G260" s="127">
        <v>1.2569459416324023</v>
      </c>
      <c r="H260" s="127">
        <v>2.0208685845180838</v>
      </c>
      <c r="I260" s="127">
        <v>2.9796788812147028</v>
      </c>
      <c r="J260" s="127">
        <v>4.1218398693870313</v>
      </c>
      <c r="K260" s="127">
        <v>5.4324225383477796</v>
      </c>
    </row>
    <row r="261" spans="2:11">
      <c r="B261" s="212">
        <f t="shared" si="23"/>
        <v>890</v>
      </c>
      <c r="C261" s="127">
        <v>8.4861798895455864E-3</v>
      </c>
      <c r="D261" s="127">
        <v>4.91498582994776E-2</v>
      </c>
      <c r="E261" s="127">
        <v>0.16582831487668503</v>
      </c>
      <c r="F261" s="127">
        <v>0.40411775324169597</v>
      </c>
      <c r="G261" s="127">
        <v>0.79861312647517479</v>
      </c>
      <c r="H261" s="127">
        <v>1.3688137361384136</v>
      </c>
      <c r="I261" s="127">
        <v>2.1210315369117652</v>
      </c>
      <c r="J261" s="127">
        <v>3.0522166946568277</v>
      </c>
      <c r="K261" s="127">
        <v>4.1535594699052467</v>
      </c>
    </row>
    <row r="262" spans="2:11">
      <c r="B262" s="212">
        <f t="shared" si="23"/>
        <v>905</v>
      </c>
      <c r="C262" s="127">
        <v>2.7225605981109902E-3</v>
      </c>
      <c r="D262" s="127">
        <v>2.069266271375314E-2</v>
      </c>
      <c r="E262" s="127">
        <v>8.3462364238321651E-2</v>
      </c>
      <c r="F262" s="127">
        <v>0.23027602401398806</v>
      </c>
      <c r="G262" s="127">
        <v>0.49801516314667715</v>
      </c>
      <c r="H262" s="127">
        <v>0.91352416246883195</v>
      </c>
      <c r="I262" s="127">
        <v>1.4919004342951396</v>
      </c>
      <c r="J262" s="127">
        <v>2.2381966627275602</v>
      </c>
      <c r="K262" s="127">
        <v>3.150177417298444</v>
      </c>
    </row>
  </sheetData>
  <mergeCells count="19">
    <mergeCell ref="E3:K3"/>
    <mergeCell ref="J6:K7"/>
    <mergeCell ref="B152:C152"/>
    <mergeCell ref="F145:G145"/>
    <mergeCell ref="B221:K221"/>
    <mergeCell ref="B146:C146"/>
    <mergeCell ref="B147:C147"/>
    <mergeCell ref="B148:C148"/>
    <mergeCell ref="B150:C150"/>
    <mergeCell ref="B151:C151"/>
    <mergeCell ref="B122:C122"/>
    <mergeCell ref="H45:I45"/>
    <mergeCell ref="H46:I46"/>
    <mergeCell ref="G77:G78"/>
    <mergeCell ref="J5:K5"/>
    <mergeCell ref="E5:F5"/>
    <mergeCell ref="B87:C87"/>
    <mergeCell ref="B243:K243"/>
    <mergeCell ref="E6:F7"/>
  </mergeCells>
  <conditionalFormatting sqref="C223:K24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5:K26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0F84-C77F-4016-A8FA-3A50C67C6197}">
  <dimension ref="B2:P48"/>
  <sheetViews>
    <sheetView showGridLines="0" topLeftCell="A86" zoomScale="120" zoomScaleNormal="120" workbookViewId="0">
      <selection activeCell="E40" sqref="E40"/>
    </sheetView>
  </sheetViews>
  <sheetFormatPr defaultRowHeight="15"/>
  <sheetData>
    <row r="2" spans="2:13">
      <c r="M2" s="1"/>
    </row>
    <row r="3" spans="2:13">
      <c r="M3" s="1">
        <v>6</v>
      </c>
    </row>
    <row r="4" spans="2:13" ht="15.75" thickBot="1"/>
    <row r="5" spans="2:13" ht="15.75" thickBot="1">
      <c r="M5" s="2"/>
    </row>
    <row r="6" spans="2:13" ht="15.75" thickBot="1">
      <c r="B6" s="12"/>
      <c r="K6" s="1">
        <v>5</v>
      </c>
      <c r="M6" s="3"/>
    </row>
    <row r="7" spans="2:13" ht="15.75" thickBot="1">
      <c r="M7" s="4"/>
    </row>
    <row r="8" spans="2:13" ht="15.75" thickBot="1">
      <c r="K8" s="2"/>
    </row>
    <row r="9" spans="2:13" ht="15.75" thickBot="1">
      <c r="I9" s="1">
        <v>4</v>
      </c>
      <c r="K9" s="3"/>
    </row>
    <row r="10" spans="2:13" ht="15.75" thickBot="1">
      <c r="K10" s="4"/>
    </row>
    <row r="11" spans="2:13" ht="15.75" thickBot="1">
      <c r="I11" s="2"/>
      <c r="M11" s="2"/>
    </row>
    <row r="12" spans="2:13" ht="15.75" thickBot="1">
      <c r="G12" s="1">
        <v>3</v>
      </c>
      <c r="I12" s="3"/>
      <c r="M12" s="3"/>
    </row>
    <row r="13" spans="2:13" ht="15.75" thickBot="1">
      <c r="I13" s="4"/>
      <c r="M13" s="4"/>
    </row>
    <row r="14" spans="2:13" ht="15.75" thickBot="1">
      <c r="G14" s="2"/>
      <c r="K14" s="2"/>
    </row>
    <row r="15" spans="2:13" ht="15.75" thickBot="1">
      <c r="E15" s="1">
        <v>2</v>
      </c>
      <c r="G15" s="3"/>
      <c r="K15" s="3"/>
    </row>
    <row r="16" spans="2:13" ht="15.75" thickBot="1">
      <c r="G16" s="4"/>
      <c r="K16" s="4"/>
    </row>
    <row r="17" spans="3:13" ht="15.75" thickBot="1">
      <c r="E17" s="2"/>
      <c r="I17" s="2"/>
      <c r="M17" s="2"/>
    </row>
    <row r="18" spans="3:13" ht="15.75" thickBot="1">
      <c r="C18" s="1">
        <v>1</v>
      </c>
      <c r="E18" s="3"/>
      <c r="I18" s="3"/>
      <c r="M18" s="3"/>
    </row>
    <row r="19" spans="3:13" ht="15.75" thickBot="1">
      <c r="E19" s="4"/>
      <c r="I19" s="4"/>
      <c r="M19" s="4"/>
    </row>
    <row r="20" spans="3:13" ht="15.75" thickBot="1">
      <c r="C20" s="7"/>
      <c r="G20" s="2"/>
      <c r="K20" s="2"/>
    </row>
    <row r="21" spans="3:13" ht="15.75" thickBot="1">
      <c r="C21" s="5"/>
      <c r="G21" s="3"/>
      <c r="K21" s="3"/>
    </row>
    <row r="22" spans="3:13" ht="15.75" thickBot="1">
      <c r="C22" s="6"/>
      <c r="G22" s="4"/>
      <c r="K22" s="4"/>
    </row>
    <row r="23" spans="3:13" ht="15.75" thickBot="1">
      <c r="E23" s="2"/>
      <c r="I23" s="2"/>
      <c r="M23" s="2"/>
    </row>
    <row r="24" spans="3:13" ht="15.75" thickBot="1">
      <c r="E24" s="3"/>
      <c r="I24" s="3"/>
      <c r="M24" s="3"/>
    </row>
    <row r="25" spans="3:13" ht="15.75" thickBot="1">
      <c r="E25" s="4"/>
      <c r="I25" s="4"/>
      <c r="M25" s="4"/>
    </row>
    <row r="26" spans="3:13" ht="15.75" thickBot="1">
      <c r="G26" s="2"/>
      <c r="K26" s="2"/>
    </row>
    <row r="27" spans="3:13" ht="15.75" thickBot="1">
      <c r="G27" s="3"/>
      <c r="K27" s="3"/>
    </row>
    <row r="28" spans="3:13" ht="15.75" thickBot="1">
      <c r="G28" s="4"/>
      <c r="K28" s="4"/>
    </row>
    <row r="29" spans="3:13" ht="15.75" thickBot="1">
      <c r="I29" s="2"/>
      <c r="M29" s="2"/>
    </row>
    <row r="30" spans="3:13" ht="15.75" thickBot="1">
      <c r="I30" s="3"/>
      <c r="M30" s="3"/>
    </row>
    <row r="31" spans="3:13" ht="15.75" thickBot="1">
      <c r="I31" s="4"/>
      <c r="M31" s="4"/>
    </row>
    <row r="32" spans="3:13" ht="15.75" thickBot="1">
      <c r="K32" s="2"/>
    </row>
    <row r="33" spans="11:16" ht="15.75" thickBot="1">
      <c r="K33" s="3"/>
    </row>
    <row r="34" spans="11:16" ht="15.75" thickBot="1">
      <c r="K34" s="4"/>
    </row>
    <row r="35" spans="11:16" ht="15.75" thickBot="1">
      <c r="M35" s="2"/>
    </row>
    <row r="36" spans="11:16" ht="15.75" thickBot="1">
      <c r="M36" s="3"/>
    </row>
    <row r="37" spans="11:16" ht="15.75" thickBot="1">
      <c r="M37" s="4"/>
    </row>
    <row r="48" spans="11:16">
      <c r="P4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Binomial 5-Steps Calculator</vt:lpstr>
      <vt:lpstr>Black-Scholes European</vt:lpstr>
      <vt:lpstr>Modified Black-Scholes</vt:lpstr>
      <vt:lpstr>Formulas &amp; Templates</vt:lpstr>
      <vt:lpstr>N0</vt:lpstr>
      <vt:lpstr>P0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Aziz</dc:creator>
  <cp:lastModifiedBy>Christian Aziz</cp:lastModifiedBy>
  <dcterms:created xsi:type="dcterms:W3CDTF">2026-07-24T17:14:01Z</dcterms:created>
  <dcterms:modified xsi:type="dcterms:W3CDTF">2026-08-09T02:28:57Z</dcterms:modified>
</cp:coreProperties>
</file>